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LEAN TOOL\SPC\"/>
    </mc:Choice>
  </mc:AlternateContent>
  <xr:revisionPtr revIDLastSave="0" documentId="13_ncr:1_{902804E9-9CC4-4E82-8A98-71D41596CDAB}" xr6:coauthVersionLast="47" xr6:coauthVersionMax="47" xr10:uidLastSave="{00000000-0000-0000-0000-000000000000}"/>
  <bookViews>
    <workbookView xWindow="-110" yWindow="-110" windowWidth="19420" windowHeight="10300" tabRatio="808" activeTab="7" xr2:uid="{00000000-000D-0000-FFFF-FFFF00000000}"/>
  </bookViews>
  <sheets>
    <sheet name="Setup information" sheetId="6" r:id="rId1"/>
    <sheet name=" Data Entry" sheetId="1" r:id="rId2"/>
    <sheet name="bts" sheetId="11" state="hidden" r:id="rId3"/>
    <sheet name="Results" sheetId="2" r:id="rId4"/>
    <sheet name="Bias &amp; Consistency Charts" sheetId="16" r:id="rId5"/>
    <sheet name="Ave &amp; Range Charts" sheetId="5" r:id="rId6"/>
    <sheet name="Critical Values" sheetId="13" r:id="rId7"/>
    <sheet name="d2star" sheetId="4" r:id="rId8"/>
  </sheets>
  <externalReferences>
    <externalReference r:id="rId9"/>
  </externalReferences>
  <definedNames>
    <definedName name="A_ALCL" localSheetId="6">OFFSET('Ave &amp; Range Charts'!$AE$6,0,0,SampSize+1)</definedName>
    <definedName name="A_ALCL">OFFSET('Ave &amp; Range Charts'!$AE$6,0,0,SampSize+1)</definedName>
    <definedName name="A_AUCL" localSheetId="6">OFFSET('Ave &amp; Range Charts'!$AD$6,0,0,SampSize+1)</definedName>
    <definedName name="A_AUCL">OFFSET('Ave &amp; Range Charts'!$AD$6,0,0,SampSize+1)</definedName>
    <definedName name="A_Ave" localSheetId="6">OFFSET('Ave &amp; Range Charts'!$Z$6,0,0,SampSize)</definedName>
    <definedName name="A_Ave">OFFSET('Ave &amp; Range Charts'!$Z$6,0,0,SampSize)</definedName>
    <definedName name="A_Range" localSheetId="6">OFFSET('Ave &amp; Range Charts'!$T$6,0,0,SampSize)</definedName>
    <definedName name="A_Range">OFFSET('Ave &amp; Range Charts'!$T$6,0,0,SampSize)</definedName>
    <definedName name="A_Rbar" localSheetId="6">OFFSET('Ave &amp; Range Charts'!$W$6,0,0,SampSize+1)</definedName>
    <definedName name="A_Rbar">OFFSET('Ave &amp; Range Charts'!$W$6,0,0,SampSize+1)</definedName>
    <definedName name="A_RUCL" localSheetId="6">OFFSET('Ave &amp; Range Charts'!$X$6,0,0,SampSize+1)</definedName>
    <definedName name="A_RUCL">OFFSET('Ave &amp; Range Charts'!$X$6,0,0,SampSize+1)</definedName>
    <definedName name="A_Xbar" localSheetId="6">OFFSET('Ave &amp; Range Charts'!$AC$6,0,0,SampSize+1)</definedName>
    <definedName name="A_Xbar">OFFSET('Ave &amp; Range Charts'!$AC$6,0,0,SampSize+1)</definedName>
    <definedName name="ANOME">'Critical Values'!$D$8:$F$28</definedName>
    <definedName name="ANOME_LCL">OFFSET(bts!$G$2,0,0,NumAppraisers)</definedName>
    <definedName name="ANOME_UCL">OFFSET(bts!$H$2,0,0,NumAppraisers)</definedName>
    <definedName name="ANOME_Xbar">OFFSET(bts!$D$2,0,0,NumAppraisers)</definedName>
    <definedName name="ANOME_Xvals">OFFSET(bts!$C$2,0,0,NumAppraisers)</definedName>
    <definedName name="ANOMEfactor">'Critical Values'!$H$8</definedName>
    <definedName name="anomelcl">bts!$G$2</definedName>
    <definedName name="anomeucl">bts!$H$2</definedName>
    <definedName name="ANOMR_LCL">OFFSET(bts!$L$2,0,0,NumAppraisers)</definedName>
    <definedName name="ANOMR_Rbar">OFFSET(bts!$K$2,0,0,NumAppraisers)</definedName>
    <definedName name="ANOMR_UCL">OFFSET(bts!$M$2,0,0,NumAppraisers)</definedName>
    <definedName name="ANOMRl">'Critical Values'!$L$8:$N$28</definedName>
    <definedName name="ANOMRu">'Critical Values'!$T$8:$V$28</definedName>
    <definedName name="AppA">'Setup information'!$L$14</definedName>
    <definedName name="AppA1">' Data Entry'!$D$5:$D$7</definedName>
    <definedName name="AppA10">' Data Entry'!$M$5:$M$7</definedName>
    <definedName name="AppA2">' Data Entry'!$E$5:$E$7</definedName>
    <definedName name="AppA3">' Data Entry'!$F$5:$F$7</definedName>
    <definedName name="AppA4">' Data Entry'!$G$5:$G$7</definedName>
    <definedName name="AppA5">' Data Entry'!$H$5:$H$7</definedName>
    <definedName name="AppA6">' Data Entry'!$I$5:$I$7</definedName>
    <definedName name="AppA7">' Data Entry'!$J$5:$J$7</definedName>
    <definedName name="AppA8">' Data Entry'!$K$5:$K$7</definedName>
    <definedName name="AppA9">' Data Entry'!$L$5:$L$7</definedName>
    <definedName name="AppAAve">' Data Entry'!$D$8:$M$8</definedName>
    <definedName name="AppARange">' Data Entry'!$D$9:$M$9</definedName>
    <definedName name="AppAT1">' Data Entry'!$D$5:$M$5</definedName>
    <definedName name="AppAT2">' Data Entry'!$D$6:$M$6</definedName>
    <definedName name="AppAT3">' Data Entry'!$D$7:$M$7</definedName>
    <definedName name="AppB">'Setup information'!$L$16</definedName>
    <definedName name="AppB1">' Data Entry'!$D$13:$D$15</definedName>
    <definedName name="AppB10">' Data Entry'!$M$13:$M$15</definedName>
    <definedName name="AppB2">' Data Entry'!$E$13:$E$15</definedName>
    <definedName name="AppB3">' Data Entry'!$F$13:$F$15</definedName>
    <definedName name="AppB4">' Data Entry'!$G$13:$G$15</definedName>
    <definedName name="AppB5">' Data Entry'!$H$13:$H$15</definedName>
    <definedName name="AppB6">' Data Entry'!$I$13:$I$15</definedName>
    <definedName name="AppB7">' Data Entry'!$J$13:$J$15</definedName>
    <definedName name="AppB8">' Data Entry'!$K$13:$K$15</definedName>
    <definedName name="AppB9">' Data Entry'!$L$13:$L$15</definedName>
    <definedName name="AppBAve">' Data Entry'!$D$16:$L$16</definedName>
    <definedName name="AppBRange">' Data Entry'!$D$17:$M$17</definedName>
    <definedName name="AppBT1">' Data Entry'!$D$13:$M$13</definedName>
    <definedName name="AppBT2">' Data Entry'!$D$14:$M$14</definedName>
    <definedName name="AppBT3">' Data Entry'!$D$15:$M$15</definedName>
    <definedName name="AppC">'Setup information'!$L$18</definedName>
    <definedName name="AppC1">' Data Entry'!$D$21:$D$23</definedName>
    <definedName name="AppC10">' Data Entry'!$M$21:$M$23</definedName>
    <definedName name="AppC2">' Data Entry'!$E$21:$E$23</definedName>
    <definedName name="AppC3">' Data Entry'!$F$21:$F$23</definedName>
    <definedName name="AppC4">' Data Entry'!$G$21:$G$23</definedName>
    <definedName name="AppC5">' Data Entry'!$H$21:$H$23</definedName>
    <definedName name="AppC6">' Data Entry'!$I$21:$I$23</definedName>
    <definedName name="AppC7">' Data Entry'!$J$21:$J$23</definedName>
    <definedName name="AppC8">' Data Entry'!$K$21:$K$23</definedName>
    <definedName name="AppC9">' Data Entry'!$L$21:$L$23</definedName>
    <definedName name="AppCAve">' Data Entry'!$D$24:$M$24</definedName>
    <definedName name="AppCRange">' Data Entry'!$D$25:$M$25</definedName>
    <definedName name="AppCT1">' Data Entry'!$D$21:$M$21</definedName>
    <definedName name="AppCT2">' Data Entry'!$D$22:$M$22</definedName>
    <definedName name="AppCT3">' Data Entry'!$D$23:$M$23</definedName>
    <definedName name="AppraiserBiasChart">'Bias &amp; Consistency Charts'!$C$31</definedName>
    <definedName name="AV">Results!$E$13</definedName>
    <definedName name="AveragesChart">'Ave &amp; Range Charts'!$A$1</definedName>
    <definedName name="AveragesChartHome">'Ave &amp; Range Charts'!$B$69</definedName>
    <definedName name="Ax" localSheetId="6">OFFSET('Ave &amp; Range Charts'!$S$6,0,0,SampSize),'Ave &amp; Range Charts'!$T$38</definedName>
    <definedName name="Ax">OFFSET('Ave &amp; Range Charts'!$S$6,0,0,SampSize),'Ave &amp; Range Charts'!$T$38</definedName>
    <definedName name="B_ALCL" localSheetId="6">OFFSET('Ave &amp; Range Charts'!$AE$17,0,0,SampSize+1)</definedName>
    <definedName name="B_ALCL">OFFSET('Ave &amp; Range Charts'!$AE$17,0,0,SampSize+1)</definedName>
    <definedName name="B_AUCL" localSheetId="6">OFFSET('Ave &amp; Range Charts'!$AD$17,0,0,SampSize+1)</definedName>
    <definedName name="B_AUCL">OFFSET('Ave &amp; Range Charts'!$AD$17,0,0,SampSize+1)</definedName>
    <definedName name="B_Ave" localSheetId="6">OFFSET('Ave &amp; Range Charts'!$AA$6,0,0,SampSize+1),OFFSET('Ave &amp; Range Charts'!$AA$17,0,0,SampSize)</definedName>
    <definedName name="B_Ave">OFFSET('Ave &amp; Range Charts'!$AA$6,0,0,SampSize+1),OFFSET('Ave &amp; Range Charts'!$AA$17,0,0,SampSize)</definedName>
    <definedName name="B_Range" localSheetId="6">OFFSET('Ave &amp; Range Charts'!$U$6,0,0,SampSize+1),OFFSET('Ave &amp; Range Charts'!$U$17,0,0,SampSize)</definedName>
    <definedName name="B_Range">OFFSET('Ave &amp; Range Charts'!$U$6,0,0,SampSize+1),OFFSET('Ave &amp; Range Charts'!$U$17,0,0,SampSize)</definedName>
    <definedName name="B_Rbar" localSheetId="6">OFFSET('Ave &amp; Range Charts'!$W$17,0,0,SampSize+1)</definedName>
    <definedName name="B_Rbar">OFFSET('Ave &amp; Range Charts'!$W$17,0,0,SampSize+1)</definedName>
    <definedName name="B_RUCL" localSheetId="6">OFFSET('Ave &amp; Range Charts'!$X$17,0,0,SampSize+1)</definedName>
    <definedName name="B_RUCL">OFFSET('Ave &amp; Range Charts'!$X$17,0,0,SampSize+1)</definedName>
    <definedName name="B_Xbar" localSheetId="6">OFFSET('Ave &amp; Range Charts'!$AC$17,0,0,SampSize+1)</definedName>
    <definedName name="B_Xbar">OFFSET('Ave &amp; Range Charts'!$AC$17,0,0,SampSize+1)</definedName>
    <definedName name="Bx" localSheetId="6">OFFSET('Ave &amp; Range Charts'!$S$17,0,0,SampSize),'Ave &amp; Range Charts'!$U$38</definedName>
    <definedName name="Bx">OFFSET('Ave &amp; Range Charts'!$S$17,0,0,SampSize),'Ave &amp; Range Charts'!$U$38</definedName>
    <definedName name="C_ALCL" localSheetId="6">IF(NumAppraisers=3,OFFSET('Ave &amp; Range Charts'!$AE$28,0,0,SampSize+1),'Ave &amp; Range Charts'!$AE$39)</definedName>
    <definedName name="C_ALCL">IF(NumAppraisers=3,OFFSET('Ave &amp; Range Charts'!$AE$28,0,0,SampSize+1),'Ave &amp; Range Charts'!$AE$39)</definedName>
    <definedName name="C_AUCL" localSheetId="6">IF(NumAppraisers=3,OFFSET('Ave &amp; Range Charts'!$AD$28,0,0,SampSize+1),'Ave &amp; Range Charts'!$AD$39)</definedName>
    <definedName name="C_AUCL">IF(NumAppraisers=3,OFFSET('Ave &amp; Range Charts'!$AD$28,0,0,SampSize+1),'Ave &amp; Range Charts'!$AD$39)</definedName>
    <definedName name="C_Ave" localSheetId="6">IF(NumAppraisers=3,(OFFSET('Ave &amp; Range Charts'!$AB$6,0,0,SampSize+1),OFFSET('Ave &amp; Range Charts'!$AB$17,0,0,SampSize+1),OFFSET('Ave &amp; Range Charts'!$AB$28,0,0,SampSize)),'Ave &amp; Range Charts'!$AB$39)</definedName>
    <definedName name="C_Ave">IF(NumAppraisers=3,(OFFSET('Ave &amp; Range Charts'!$AB$6,0,0,SampSize+1),OFFSET('Ave &amp; Range Charts'!$AB$17,0,0,SampSize+1),OFFSET('Ave &amp; Range Charts'!$AB$28,0,0,SampSize)),'Ave &amp; Range Charts'!$AB$39)</definedName>
    <definedName name="C_Range" localSheetId="6">IF(NumAppraisers=3,(OFFSET('Ave &amp; Range Charts'!$V$6,,0,SampSize+1),OFFSET('Ave &amp; Range Charts'!$V$17,,0,SampSize+1),OFFSET('Ave &amp; Range Charts'!$V$28,,0,SampSize)),'Ave &amp; Range Charts'!$V$39)</definedName>
    <definedName name="C_Range">IF(NumAppraisers=3,(OFFSET('Ave &amp; Range Charts'!$V$6,,0,SampSize+1),OFFSET('Ave &amp; Range Charts'!$V$17,,0,SampSize+1),OFFSET('Ave &amp; Range Charts'!$V$28,,0,SampSize)),'Ave &amp; Range Charts'!$V$39)</definedName>
    <definedName name="C_Rbar" localSheetId="6">IF(NumAppraisers=3,OFFSET('Ave &amp; Range Charts'!$W$28,0,0,SampSize+1),'Ave &amp; Range Charts'!$X$39)</definedName>
    <definedName name="C_Rbar">IF(NumAppraisers=3,OFFSET('Ave &amp; Range Charts'!$W$28,0,0,SampSize+1),'Ave &amp; Range Charts'!$X$39)</definedName>
    <definedName name="C_RUCL" localSheetId="6">IF(NumAppraisers=3,OFFSET('Ave &amp; Range Charts'!$X$28,0,0,SampSize+1),'Ave &amp; Range Charts'!$X$39)</definedName>
    <definedName name="C_RUCL">IF(NumAppraisers=3,OFFSET('Ave &amp; Range Charts'!$X$28,0,0,SampSize+1),'Ave &amp; Range Charts'!$X$39)</definedName>
    <definedName name="C_Xbar" localSheetId="6">IF(NumAppraisers=3,OFFSET('Ave &amp; Range Charts'!$AC$28,0,0,SampSize+1),'Ave &amp; Range Charts'!$AC$39)</definedName>
    <definedName name="C_Xbar">IF(NumAppraisers=3,OFFSET('Ave &amp; Range Charts'!$AC$28,0,0,SampSize+1),'Ave &amp; Range Charts'!$AC$39)</definedName>
    <definedName name="ConsistencyChart">'Bias &amp; Consistency Charts'!$B$62</definedName>
    <definedName name="ControlChartsHome">'Ave &amp; Range Charts'!$A$1</definedName>
    <definedName name="ControlLimitsHome">'Ave &amp; Range Charts'!$B$99</definedName>
    <definedName name="Cx" localSheetId="6">IF(NumAppraisers=3,OFFSET('Ave &amp; Range Charts'!$S$28,0,0,SampSize),'Ave &amp; Range Charts'!$T$39)</definedName>
    <definedName name="Cx">IF(NumAppraisers=3,OFFSET('Ave &amp; Range Charts'!$S$28,0,0,SampSize),'Ave &amp; Range Charts'!$T$39)</definedName>
    <definedName name="d2starAV">d2star!$D$26</definedName>
    <definedName name="d2starData">d2star!$B$6:$D$6</definedName>
    <definedName name="d2starEV" localSheetId="6">'Critical Values'!$H$8</definedName>
    <definedName name="d2starEV">d2star!$D$23</definedName>
    <definedName name="D2starHome" localSheetId="6">'Critical Values'!#REF!</definedName>
    <definedName name="D2starHome">d2star!#REF!</definedName>
    <definedName name="d2starPV">d2star!$D$29</definedName>
    <definedName name="DataHome">' Data Entry'!$A$1</definedName>
    <definedName name="EV">Results!$E$8</definedName>
    <definedName name="GRR">Results!$E$18</definedName>
    <definedName name="KeyToTerms">Results!$D$83</definedName>
    <definedName name="LCLX">'Ave &amp; Range Charts'!$O$79</definedName>
    <definedName name="LMR">'Critical Values'!$P$8</definedName>
    <definedName name="LMR_LCL">bts!$L$2</definedName>
    <definedName name="NumAppraisers">'Setup information'!$G$21</definedName>
    <definedName name="NumTrials">'Setup information'!$J$21</definedName>
    <definedName name="OpCharCLCalcs">'Bias &amp; Consistency Charts'!$B$91</definedName>
    <definedName name="Part_Average" localSheetId="6">OFFSET(' Data Entry'!$D$27,0,0,1,SampSize)</definedName>
    <definedName name="Part_Average">OFFSET(' Data Entry'!$D$27,0,0,1,SampSize)</definedName>
    <definedName name="PV">Results!$E$23</definedName>
    <definedName name="RangeChart">'Ave &amp; Range Charts'!$A$66</definedName>
    <definedName name="RangeOps">' Data Entry'!$O$30</definedName>
    <definedName name="RangeParts">' Data Entry'!$O$29</definedName>
    <definedName name="RBarA">' Data Entry'!$O$9</definedName>
    <definedName name="RBarB">' Data Entry'!$O$17</definedName>
    <definedName name="RBarC">' Data Entry'!$O$25</definedName>
    <definedName name="RDblBar">'Ave &amp; Range Charts'!$D$76</definedName>
    <definedName name="ResultsHome">Results!$A$1</definedName>
    <definedName name="SampSize">'Setup information'!$D$21</definedName>
    <definedName name="SetupHome">'Setup information'!$A$1</definedName>
    <definedName name="sops_est">' Data Entry'!$I$30</definedName>
    <definedName name="sparts_est">' Data Entry'!$I$29</definedName>
    <definedName name="TargetCount">COUNTA(' Data Entry'!$D$5:$M$7,' Data Entry'!$D$13:$M$15,' Data Entry'!$D$21:$M$23)</definedName>
    <definedName name="Tolerance">'Setup information'!$N$25</definedName>
    <definedName name="TV">Results!$E$28</definedName>
    <definedName name="UCLR">'Ave &amp; Range Charts'!$O$72</definedName>
    <definedName name="UCLX">'Ave &amp; Range Charts'!$O$76</definedName>
    <definedName name="UMR">'Critical Values'!$X$8</definedName>
    <definedName name="UMR_UCL">bts!$M$2</definedName>
    <definedName name="Units">'Setup information'!$H$12</definedName>
    <definedName name="X_Range" localSheetId="6">[0]!A_xRange,[0]!B_xRange,[1]!C_xRange</definedName>
    <definedName name="X_Range">[0]!A_xRange,[0]!B_xRange,[1]!C_xRange</definedName>
    <definedName name="XBarA">' Data Entry'!$O$8</definedName>
    <definedName name="XBarB">' Data Entry'!$O$16</definedName>
    <definedName name="XBarC">' Data Entry'!$O$24</definedName>
    <definedName name="XBarDiff">'Ave &amp; Range Charts'!$D$80</definedName>
    <definedName name="XDblBar">' Data Entry'!$O$27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" l="1"/>
  <c r="D26" i="4"/>
  <c r="D23" i="4"/>
  <c r="D8" i="1"/>
  <c r="D16" i="1"/>
  <c r="D24" i="1"/>
  <c r="D27" i="1" s="1"/>
  <c r="E8" i="1"/>
  <c r="E9" i="1"/>
  <c r="T7" i="5" s="1"/>
  <c r="E16" i="1"/>
  <c r="E17" i="1" s="1"/>
  <c r="U18" i="5" s="1"/>
  <c r="E24" i="1"/>
  <c r="E25" i="1" s="1"/>
  <c r="V29" i="5" s="1"/>
  <c r="F8" i="1"/>
  <c r="F16" i="1"/>
  <c r="F27" i="1" s="1"/>
  <c r="F24" i="1"/>
  <c r="G8" i="1"/>
  <c r="G9" i="1" s="1"/>
  <c r="T9" i="5" s="1"/>
  <c r="G16" i="1"/>
  <c r="AA20" i="5"/>
  <c r="G24" i="1"/>
  <c r="G25" i="1"/>
  <c r="V31" i="5" s="1"/>
  <c r="H8" i="1"/>
  <c r="H27" i="1" s="1"/>
  <c r="H16" i="1"/>
  <c r="H17" i="1" s="1"/>
  <c r="U21" i="5" s="1"/>
  <c r="H24" i="1"/>
  <c r="I8" i="1"/>
  <c r="I16" i="1"/>
  <c r="I17" i="1"/>
  <c r="U22" i="5" s="1"/>
  <c r="I24" i="1"/>
  <c r="I25" i="1" s="1"/>
  <c r="V33" i="5" s="1"/>
  <c r="J8" i="1"/>
  <c r="J16" i="1"/>
  <c r="J17" i="1" s="1"/>
  <c r="U23" i="5" s="1"/>
  <c r="J24" i="1"/>
  <c r="J25" i="1"/>
  <c r="V34" i="5" s="1"/>
  <c r="K8" i="1"/>
  <c r="K27" i="1" s="1"/>
  <c r="K16" i="1"/>
  <c r="K17" i="1" s="1"/>
  <c r="U24" i="5" s="1"/>
  <c r="K24" i="1"/>
  <c r="L8" i="1"/>
  <c r="Z14" i="5" s="1"/>
  <c r="L16" i="1"/>
  <c r="AA25" i="5" s="1"/>
  <c r="L24" i="1"/>
  <c r="M8" i="1"/>
  <c r="Z15" i="5" s="1"/>
  <c r="M16" i="1"/>
  <c r="AA26" i="5"/>
  <c r="M24" i="1"/>
  <c r="M25" i="1"/>
  <c r="V37" i="5" s="1"/>
  <c r="I9" i="1"/>
  <c r="T11" i="5" s="1"/>
  <c r="D17" i="1"/>
  <c r="U17" i="5" s="1"/>
  <c r="F17" i="1"/>
  <c r="U19" i="5" s="1"/>
  <c r="L17" i="1"/>
  <c r="U25" i="5" s="1"/>
  <c r="D25" i="1"/>
  <c r="F25" i="1"/>
  <c r="V30" i="5" s="1"/>
  <c r="H25" i="1"/>
  <c r="V32" i="5" s="1"/>
  <c r="K25" i="1"/>
  <c r="L25" i="1"/>
  <c r="V36" i="5"/>
  <c r="N5" i="1"/>
  <c r="N6" i="1"/>
  <c r="N7" i="1"/>
  <c r="N13" i="1"/>
  <c r="O16" i="1" s="1"/>
  <c r="N14" i="1"/>
  <c r="N15" i="1"/>
  <c r="N21" i="1"/>
  <c r="N22" i="1"/>
  <c r="O24" i="1" s="1"/>
  <c r="D4" i="11" s="1"/>
  <c r="N23" i="1"/>
  <c r="M76" i="5"/>
  <c r="M79" i="5"/>
  <c r="T8" i="13"/>
  <c r="X8" i="13" s="1"/>
  <c r="O3" i="11" s="1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L8" i="13"/>
  <c r="L9" i="13"/>
  <c r="P8" i="13" s="1"/>
  <c r="M70" i="16" s="1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F25" i="13"/>
  <c r="E25" i="13"/>
  <c r="D25" i="13"/>
  <c r="T26" i="13"/>
  <c r="T27" i="13"/>
  <c r="T28" i="13"/>
  <c r="L26" i="13"/>
  <c r="L27" i="13"/>
  <c r="L28" i="13"/>
  <c r="D8" i="13"/>
  <c r="D9" i="13"/>
  <c r="D10" i="13"/>
  <c r="D11" i="13"/>
  <c r="D12" i="13"/>
  <c r="D13" i="13"/>
  <c r="D14" i="13"/>
  <c r="D15" i="13"/>
  <c r="D16" i="13"/>
  <c r="C4" i="11"/>
  <c r="C3" i="11"/>
  <c r="C2" i="11"/>
  <c r="D17" i="13"/>
  <c r="D18" i="13"/>
  <c r="D19" i="13"/>
  <c r="H8" i="13" s="1"/>
  <c r="G67" i="16" s="1"/>
  <c r="D20" i="13"/>
  <c r="D21" i="13"/>
  <c r="D22" i="13"/>
  <c r="D23" i="13"/>
  <c r="D24" i="13"/>
  <c r="D26" i="13"/>
  <c r="D27" i="13"/>
  <c r="D28" i="13"/>
  <c r="N25" i="6"/>
  <c r="O25" i="6"/>
  <c r="F28" i="2"/>
  <c r="F23" i="2"/>
  <c r="F18" i="2"/>
  <c r="F13" i="2"/>
  <c r="F8" i="2"/>
  <c r="O23" i="6"/>
  <c r="O21" i="6"/>
  <c r="M72" i="5"/>
  <c r="AB36" i="5"/>
  <c r="AB35" i="5"/>
  <c r="AB32" i="5"/>
  <c r="AB31" i="5"/>
  <c r="AB30" i="5"/>
  <c r="AB28" i="5"/>
  <c r="AA23" i="5"/>
  <c r="AA19" i="5"/>
  <c r="AA17" i="5"/>
  <c r="Z13" i="5"/>
  <c r="Z12" i="5"/>
  <c r="Z11" i="5"/>
  <c r="Z8" i="5"/>
  <c r="Z7" i="5"/>
  <c r="V35" i="5"/>
  <c r="D11" i="1"/>
  <c r="D19" i="1"/>
  <c r="D3" i="1"/>
  <c r="AB33" i="5"/>
  <c r="AB34" i="5"/>
  <c r="AB37" i="5"/>
  <c r="I27" i="1"/>
  <c r="AA22" i="5"/>
  <c r="M17" i="1"/>
  <c r="U26" i="5" s="1"/>
  <c r="L9" i="1"/>
  <c r="T14" i="5" s="1"/>
  <c r="O8" i="1"/>
  <c r="H9" i="1"/>
  <c r="T10" i="5" s="1"/>
  <c r="Z9" i="5"/>
  <c r="Z6" i="5"/>
  <c r="D9" i="1"/>
  <c r="T6" i="5"/>
  <c r="E2" i="1"/>
  <c r="D2" i="11"/>
  <c r="G17" i="1"/>
  <c r="U20" i="5"/>
  <c r="AA24" i="5"/>
  <c r="J9" i="1"/>
  <c r="T12" i="5" s="1"/>
  <c r="M27" i="1"/>
  <c r="E27" i="1"/>
  <c r="F9" i="1"/>
  <c r="O30" i="1" l="1"/>
  <c r="D3" i="11"/>
  <c r="D78" i="5"/>
  <c r="D80" i="5" s="1"/>
  <c r="O25" i="1"/>
  <c r="T8" i="5"/>
  <c r="G27" i="1"/>
  <c r="O29" i="1" s="1"/>
  <c r="E23" i="2" s="1"/>
  <c r="T23" i="2" s="1"/>
  <c r="O17" i="1"/>
  <c r="K9" i="1"/>
  <c r="T13" i="5" s="1"/>
  <c r="I30" i="1"/>
  <c r="J27" i="1"/>
  <c r="Z10" i="5"/>
  <c r="V28" i="5"/>
  <c r="M9" i="1"/>
  <c r="T15" i="5" s="1"/>
  <c r="L27" i="1"/>
  <c r="AA18" i="5"/>
  <c r="D79" i="5"/>
  <c r="AB29" i="5"/>
  <c r="AA21" i="5"/>
  <c r="N4" i="11"/>
  <c r="O4" i="11"/>
  <c r="O2" i="11"/>
  <c r="M67" i="16"/>
  <c r="G70" i="16"/>
  <c r="N3" i="11"/>
  <c r="I2" i="11"/>
  <c r="N2" i="11"/>
  <c r="O27" i="1" l="1"/>
  <c r="D74" i="5"/>
  <c r="K4" i="11"/>
  <c r="I29" i="1"/>
  <c r="K3" i="11"/>
  <c r="D73" i="5"/>
  <c r="O9" i="1"/>
  <c r="C70" i="16" l="1"/>
  <c r="AC33" i="5"/>
  <c r="AC37" i="5"/>
  <c r="AC26" i="5"/>
  <c r="AC31" i="5"/>
  <c r="AC36" i="5"/>
  <c r="AC25" i="5"/>
  <c r="AC6" i="5"/>
  <c r="AC15" i="5"/>
  <c r="AC13" i="5"/>
  <c r="AC24" i="5"/>
  <c r="AC16" i="5"/>
  <c r="AC23" i="5"/>
  <c r="AC10" i="5"/>
  <c r="C67" i="16"/>
  <c r="AC32" i="5"/>
  <c r="AC19" i="5"/>
  <c r="AC18" i="5"/>
  <c r="E2" i="11"/>
  <c r="AC20" i="5"/>
  <c r="AC14" i="5"/>
  <c r="AC11" i="5"/>
  <c r="AC22" i="5"/>
  <c r="I76" i="5"/>
  <c r="AC28" i="5"/>
  <c r="AC38" i="5"/>
  <c r="AC34" i="5"/>
  <c r="AC30" i="5"/>
  <c r="AC7" i="5"/>
  <c r="AC8" i="5"/>
  <c r="E4" i="11"/>
  <c r="I79" i="5"/>
  <c r="AC35" i="5"/>
  <c r="AC21" i="5"/>
  <c r="AC27" i="5"/>
  <c r="AC17" i="5"/>
  <c r="AC9" i="5"/>
  <c r="AC12" i="5"/>
  <c r="E3" i="11"/>
  <c r="AC29" i="5"/>
  <c r="K2" i="11"/>
  <c r="D72" i="5"/>
  <c r="D75" i="5" l="1"/>
  <c r="D76" i="5" s="1"/>
  <c r="W27" i="5" l="1"/>
  <c r="E67" i="16"/>
  <c r="I67" i="16" s="1"/>
  <c r="W20" i="5"/>
  <c r="W8" i="5"/>
  <c r="E8" i="2"/>
  <c r="W18" i="5"/>
  <c r="W22" i="5"/>
  <c r="W21" i="5"/>
  <c r="W16" i="5"/>
  <c r="W12" i="5"/>
  <c r="W14" i="5"/>
  <c r="F4" i="11"/>
  <c r="W25" i="5"/>
  <c r="F3" i="11"/>
  <c r="K72" i="5"/>
  <c r="O72" i="5" s="1"/>
  <c r="W6" i="5"/>
  <c r="K76" i="5"/>
  <c r="O76" i="5" s="1"/>
  <c r="W11" i="5"/>
  <c r="K79" i="5"/>
  <c r="O79" i="5" s="1"/>
  <c r="W28" i="5"/>
  <c r="W26" i="5"/>
  <c r="W9" i="5"/>
  <c r="O28" i="1"/>
  <c r="W23" i="5"/>
  <c r="W19" i="5"/>
  <c r="W17" i="5"/>
  <c r="F2" i="11"/>
  <c r="W31" i="5"/>
  <c r="K67" i="16"/>
  <c r="O67" i="16" s="1"/>
  <c r="W29" i="5"/>
  <c r="K70" i="16"/>
  <c r="O70" i="16" s="1"/>
  <c r="W10" i="5"/>
  <c r="W36" i="5"/>
  <c r="W24" i="5"/>
  <c r="W7" i="5"/>
  <c r="W34" i="5"/>
  <c r="W38" i="5"/>
  <c r="W37" i="5"/>
  <c r="W32" i="5"/>
  <c r="W15" i="5"/>
  <c r="W30" i="5"/>
  <c r="W13" i="5"/>
  <c r="E70" i="16"/>
  <c r="I70" i="16" s="1"/>
  <c r="W35" i="5"/>
  <c r="W33" i="5"/>
  <c r="M4" i="11" l="1"/>
  <c r="L4" i="11"/>
  <c r="H4" i="11"/>
  <c r="G4" i="11"/>
  <c r="L2" i="11"/>
  <c r="M2" i="11"/>
  <c r="Y61" i="2" s="1"/>
  <c r="G2" i="11"/>
  <c r="H2" i="11"/>
  <c r="AE22" i="5"/>
  <c r="AE8" i="5"/>
  <c r="AE13" i="5"/>
  <c r="AE37" i="5"/>
  <c r="AE35" i="5"/>
  <c r="AE20" i="5"/>
  <c r="AE6" i="5"/>
  <c r="AE16" i="5"/>
  <c r="AE32" i="5"/>
  <c r="AE11" i="5"/>
  <c r="AE25" i="5"/>
  <c r="AE17" i="5"/>
  <c r="AE33" i="5"/>
  <c r="AE19" i="5"/>
  <c r="AE30" i="5"/>
  <c r="AE34" i="5"/>
  <c r="AE36" i="5"/>
  <c r="AE28" i="5"/>
  <c r="AE38" i="5"/>
  <c r="AE18" i="5"/>
  <c r="AE14" i="5"/>
  <c r="AE23" i="5"/>
  <c r="AE24" i="5"/>
  <c r="AE27" i="5"/>
  <c r="AE7" i="5"/>
  <c r="AE9" i="5"/>
  <c r="AE12" i="5"/>
  <c r="AE15" i="5"/>
  <c r="AE10" i="5"/>
  <c r="AE21" i="5"/>
  <c r="AE31" i="5"/>
  <c r="AE26" i="5"/>
  <c r="AE29" i="5"/>
  <c r="X18" i="5"/>
  <c r="X7" i="5"/>
  <c r="X37" i="5"/>
  <c r="X26" i="5"/>
  <c r="X21" i="5"/>
  <c r="X9" i="5"/>
  <c r="X10" i="5"/>
  <c r="X13" i="5"/>
  <c r="X15" i="5"/>
  <c r="X17" i="5"/>
  <c r="X25" i="5"/>
  <c r="X36" i="5"/>
  <c r="X22" i="5"/>
  <c r="X61" i="2"/>
  <c r="X11" i="5"/>
  <c r="X33" i="5"/>
  <c r="X12" i="5"/>
  <c r="X14" i="5"/>
  <c r="X34" i="5"/>
  <c r="X20" i="5"/>
  <c r="X24" i="5"/>
  <c r="X38" i="5"/>
  <c r="X27" i="5"/>
  <c r="X29" i="5"/>
  <c r="X32" i="5"/>
  <c r="X30" i="5"/>
  <c r="X35" i="5"/>
  <c r="X6" i="5"/>
  <c r="X23" i="5"/>
  <c r="X8" i="5"/>
  <c r="X19" i="5"/>
  <c r="X28" i="5"/>
  <c r="X16" i="5"/>
  <c r="X31" i="5"/>
  <c r="M3" i="11"/>
  <c r="L3" i="11"/>
  <c r="H3" i="11"/>
  <c r="G3" i="11"/>
  <c r="AD21" i="5"/>
  <c r="AD34" i="5"/>
  <c r="AD33" i="5"/>
  <c r="AD35" i="5"/>
  <c r="AD37" i="5"/>
  <c r="AD29" i="5"/>
  <c r="AD38" i="5"/>
  <c r="AD15" i="5"/>
  <c r="AD16" i="5"/>
  <c r="AD18" i="5"/>
  <c r="AD12" i="5"/>
  <c r="AD13" i="5"/>
  <c r="AD7" i="5"/>
  <c r="AD28" i="5"/>
  <c r="AD9" i="5"/>
  <c r="AD32" i="5"/>
  <c r="AD10" i="5"/>
  <c r="AD11" i="5"/>
  <c r="AD24" i="5"/>
  <c r="AD30" i="5"/>
  <c r="AD6" i="5"/>
  <c r="AD22" i="5"/>
  <c r="AD27" i="5"/>
  <c r="AD14" i="5"/>
  <c r="AD20" i="5"/>
  <c r="AD19" i="5"/>
  <c r="AD25" i="5"/>
  <c r="AD17" i="5"/>
  <c r="AD31" i="5"/>
  <c r="X58" i="2"/>
  <c r="AD8" i="5"/>
  <c r="AD26" i="5"/>
  <c r="AD23" i="5"/>
  <c r="AD36" i="5"/>
  <c r="T8" i="2"/>
  <c r="E18" i="2"/>
  <c r="E28" i="2"/>
  <c r="E13" i="2"/>
  <c r="Y58" i="2" l="1"/>
  <c r="K43" i="2" s="1"/>
  <c r="L8" i="2"/>
  <c r="P23" i="2"/>
  <c r="L23" i="2"/>
  <c r="T18" i="2"/>
  <c r="P18" i="2"/>
  <c r="L18" i="2"/>
  <c r="K71" i="2"/>
  <c r="E71" i="2"/>
  <c r="P8" i="2"/>
  <c r="E49" i="2"/>
  <c r="K49" i="2"/>
  <c r="T13" i="2"/>
  <c r="P13" i="2"/>
  <c r="L13" i="2"/>
  <c r="K66" i="2"/>
  <c r="E66" i="2"/>
  <c r="E43" i="2" l="1"/>
  <c r="G59" i="2"/>
  <c r="G60" i="2"/>
  <c r="G61" i="2"/>
  <c r="G36" i="2"/>
  <c r="G38" i="2"/>
  <c r="G37" i="2"/>
  <c r="G39" i="2"/>
  <c r="K36" i="2" l="1"/>
  <c r="K59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<sst xmlns="http://schemas.openxmlformats.org/spreadsheetml/2006/main" count="419" uniqueCount="283">
  <si>
    <t>Instructions:</t>
  </si>
  <si>
    <t>Gage Name</t>
  </si>
  <si>
    <t>Gage Type</t>
  </si>
  <si>
    <t>Gage Number</t>
  </si>
  <si>
    <t>Characteristic</t>
  </si>
  <si>
    <t>Specification</t>
  </si>
  <si>
    <t>Test Number</t>
  </si>
  <si>
    <t>SETUP</t>
  </si>
  <si>
    <t>Date</t>
  </si>
  <si>
    <t>Prepared by</t>
  </si>
  <si>
    <t>Appraiser A Name</t>
  </si>
  <si>
    <t>Appraiser B Name</t>
  </si>
  <si>
    <t>Appraiser C Name</t>
  </si>
  <si>
    <t>Average</t>
  </si>
  <si>
    <t>Range</t>
  </si>
  <si>
    <t xml:space="preserve"> </t>
  </si>
  <si>
    <t>Trial\Sample</t>
  </si>
  <si>
    <t>Range Variation</t>
  </si>
  <si>
    <t>Sum</t>
  </si>
  <si>
    <r>
      <t>R</t>
    </r>
    <r>
      <rPr>
        <vertAlign val="subscript"/>
        <sz val="10"/>
        <rFont val="Arial"/>
        <family val="2"/>
      </rPr>
      <t>doublebar</t>
    </r>
  </si>
  <si>
    <t>Max X Bar</t>
  </si>
  <si>
    <t>X bar Diff</t>
  </si>
  <si>
    <t># Trials</t>
  </si>
  <si>
    <r>
      <t>D</t>
    </r>
    <r>
      <rPr>
        <b/>
        <vertAlign val="subscript"/>
        <sz val="10"/>
        <rFont val="Arial"/>
        <family val="2"/>
      </rPr>
      <t>4</t>
    </r>
  </si>
  <si>
    <r>
      <t>A</t>
    </r>
    <r>
      <rPr>
        <b/>
        <vertAlign val="subscript"/>
        <sz val="10"/>
        <rFont val="Arial"/>
        <family val="2"/>
      </rPr>
      <t>2</t>
    </r>
  </si>
  <si>
    <t>=</t>
  </si>
  <si>
    <t>Note: LCL is zero with &lt; 8 trials</t>
  </si>
  <si>
    <r>
      <t>UCL</t>
    </r>
    <r>
      <rPr>
        <vertAlign val="subscript"/>
        <sz val="10"/>
        <rFont val="Arial"/>
        <family val="2"/>
      </rPr>
      <t>R</t>
    </r>
  </si>
  <si>
    <r>
      <t>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</si>
  <si>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UCL</t>
    </r>
    <r>
      <rPr>
        <vertAlign val="subscript"/>
        <sz val="10"/>
        <rFont val="Arial"/>
        <family val="2"/>
      </rPr>
      <t>X</t>
    </r>
  </si>
  <si>
    <r>
      <t>LCL</t>
    </r>
    <r>
      <rPr>
        <vertAlign val="subscript"/>
        <sz val="10"/>
        <rFont val="Arial"/>
        <family val="2"/>
      </rPr>
      <t>X</t>
    </r>
  </si>
  <si>
    <t>Part Average</t>
  </si>
  <si>
    <r>
      <t>X</t>
    </r>
    <r>
      <rPr>
        <b/>
        <vertAlign val="subscript"/>
        <sz val="10"/>
        <rFont val="Arial"/>
        <family val="2"/>
      </rPr>
      <t>doublebar</t>
    </r>
  </si>
  <si>
    <r>
      <t>R</t>
    </r>
    <r>
      <rPr>
        <b/>
        <vertAlign val="subscript"/>
        <sz val="10"/>
        <rFont val="Arial"/>
        <family val="2"/>
      </rPr>
      <t>p</t>
    </r>
  </si>
  <si>
    <t>X</t>
  </si>
  <si>
    <t>x</t>
  </si>
  <si>
    <t>+</t>
  </si>
  <si>
    <t>-</t>
  </si>
  <si>
    <r>
      <t>X</t>
    </r>
    <r>
      <rPr>
        <b/>
        <vertAlign val="subscript"/>
        <sz val="10"/>
        <rFont val="Arial"/>
        <family val="2"/>
      </rPr>
      <t>doublebar</t>
    </r>
    <r>
      <rPr>
        <b/>
        <sz val="8"/>
        <rFont val="Arial"/>
        <family val="2"/>
      </rPr>
      <t/>
    </r>
  </si>
  <si>
    <r>
      <t>( R</t>
    </r>
    <r>
      <rPr>
        <b/>
        <vertAlign val="subscript"/>
        <sz val="10"/>
        <rFont val="Arial"/>
        <family val="2"/>
      </rPr>
      <t>doublebar</t>
    </r>
    <r>
      <rPr>
        <b/>
        <sz val="10"/>
        <rFont val="Arial"/>
        <family val="2"/>
      </rPr>
      <t xml:space="preserve"> </t>
    </r>
  </si>
  <si>
    <r>
      <t>R</t>
    </r>
    <r>
      <rPr>
        <b/>
        <vertAlign val="subscript"/>
        <sz val="10"/>
        <rFont val="Arial"/>
        <family val="2"/>
      </rPr>
      <t>doublebar</t>
    </r>
  </si>
  <si>
    <t>REPEATABILITY - EQUIPMENT VARIATION (EV)</t>
  </si>
  <si>
    <t>Units</t>
  </si>
  <si>
    <t>REPRODUCIBILITY - APPRAISER VARIATION (AV)</t>
  </si>
  <si>
    <t>m</t>
  </si>
  <si>
    <t>p</t>
  </si>
  <si>
    <r>
      <t>R</t>
    </r>
    <r>
      <rPr>
        <b/>
        <vertAlign val="subscript"/>
        <sz val="10"/>
        <rFont val="Arial"/>
        <family val="2"/>
      </rPr>
      <t>o</t>
    </r>
  </si>
  <si>
    <t>REPEATABILITY &amp; REPRODUCIBILITY (GRR)</t>
  </si>
  <si>
    <t>PRODUCT VARIATION (PV)</t>
  </si>
  <si>
    <t>CONTROL CHART CONTROL LIMIT CALCULATIONS</t>
  </si>
  <si>
    <t>Component Variance Method</t>
  </si>
  <si>
    <t>AIAG Method</t>
  </si>
  <si>
    <t>Appraisers (o)</t>
  </si>
  <si>
    <t>Trials (n)</t>
  </si>
  <si>
    <t>Sample Size (p)</t>
  </si>
  <si>
    <t>Range of Part Averages</t>
  </si>
  <si>
    <t>Range of Appraiser Averages</t>
  </si>
  <si>
    <t>Xbar(A)</t>
  </si>
  <si>
    <t>Rbar(A)</t>
  </si>
  <si>
    <t>Xbar(B)</t>
  </si>
  <si>
    <t>Rbar(B)</t>
  </si>
  <si>
    <t>Xbar(C)</t>
  </si>
  <si>
    <t>Rbar(C)</t>
  </si>
  <si>
    <t>%EV    =</t>
  </si>
  <si>
    <t>%AV    =</t>
  </si>
  <si>
    <t>%GRR   =</t>
  </si>
  <si>
    <t>%PV    =</t>
  </si>
  <si>
    <r>
      <t>EV</t>
    </r>
    <r>
      <rPr>
        <b/>
        <sz val="10"/>
        <rFont val="Arial"/>
        <family val="2"/>
      </rPr>
      <t>/TV</t>
    </r>
  </si>
  <si>
    <t>AV/TV</t>
  </si>
  <si>
    <t>GRR/TV</t>
  </si>
  <si>
    <r>
      <t>PV</t>
    </r>
    <r>
      <rPr>
        <b/>
        <sz val="10"/>
        <rFont val="Arial"/>
        <family val="2"/>
      </rPr>
      <t>/TV</t>
    </r>
  </si>
  <si>
    <t>A</t>
  </si>
  <si>
    <t>B</t>
  </si>
  <si>
    <t xml:space="preserve">PV = </t>
  </si>
  <si>
    <t>C</t>
  </si>
  <si>
    <t>Xbar</t>
  </si>
  <si>
    <t>UCL</t>
  </si>
  <si>
    <t>LCL</t>
  </si>
  <si>
    <t>Rbar</t>
  </si>
  <si>
    <t>EV/Tol</t>
  </si>
  <si>
    <t>AV/Tol</t>
  </si>
  <si>
    <t>GRR/Tol</t>
  </si>
  <si>
    <t>PV/Tol</t>
  </si>
  <si>
    <t>EV =</t>
  </si>
  <si>
    <t>AV =</t>
  </si>
  <si>
    <t xml:space="preserve">GRR = </t>
  </si>
  <si>
    <t>TV =</t>
  </si>
  <si>
    <r>
      <t>(EV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+ AV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0.5</t>
    </r>
  </si>
  <si>
    <r>
      <t>(EV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+ AV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+ PV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0.5</t>
    </r>
  </si>
  <si>
    <t>Next step: Enter Data</t>
  </si>
  <si>
    <t>Next step: View Results</t>
  </si>
  <si>
    <t>Click here for the Control Limits Calculations</t>
  </si>
  <si>
    <t>Back to top</t>
  </si>
  <si>
    <t>Click here to go back to the Results</t>
  </si>
  <si>
    <t>for EV --&gt;</t>
  </si>
  <si>
    <t>for AV --&gt;</t>
  </si>
  <si>
    <t>for PV --&gt;</t>
  </si>
  <si>
    <t>= grand average of all Appraiser ranges</t>
  </si>
  <si>
    <t>= a constant used to estimate Standard Deviation</t>
  </si>
  <si>
    <t>= Range of Part averages</t>
  </si>
  <si>
    <t>= Range of Appraiser averages</t>
  </si>
  <si>
    <t>Key to Abbreviations Used in Formulas</t>
  </si>
  <si>
    <t>n</t>
  </si>
  <si>
    <t>= Sample Size</t>
  </si>
  <si>
    <t>= Number of Trials</t>
  </si>
  <si>
    <r>
      <t>R</t>
    </r>
    <r>
      <rPr>
        <u/>
        <vertAlign val="subscript"/>
        <sz val="10"/>
        <color indexed="12"/>
        <rFont val="Arial"/>
        <family val="2"/>
      </rPr>
      <t>doublebar</t>
    </r>
  </si>
  <si>
    <r>
      <t>R</t>
    </r>
    <r>
      <rPr>
        <u/>
        <vertAlign val="subscript"/>
        <sz val="10"/>
        <color indexed="12"/>
        <rFont val="Arial"/>
        <family val="2"/>
      </rPr>
      <t>p</t>
    </r>
  </si>
  <si>
    <t>Appraiser (A):</t>
  </si>
  <si>
    <t>Appraiser (B):</t>
  </si>
  <si>
    <t>Appraiser (C):</t>
  </si>
  <si>
    <r>
      <t>R</t>
    </r>
    <r>
      <rPr>
        <u/>
        <vertAlign val="subscript"/>
        <sz val="10"/>
        <color indexed="12"/>
        <rFont val="Arial"/>
        <family val="2"/>
      </rPr>
      <t>o</t>
    </r>
  </si>
  <si>
    <t>Min X Bar</t>
  </si>
  <si>
    <t>TOTAL VARIATION (TV)</t>
  </si>
  <si>
    <t>Upper Specification Limit</t>
  </si>
  <si>
    <t>Lower Specification Limit</t>
  </si>
  <si>
    <t>Tolerance (Upper Spec Limit - Lower Spec Limit)</t>
  </si>
  <si>
    <t>% of Tolerance</t>
  </si>
  <si>
    <r>
      <t>S</t>
    </r>
    <r>
      <rPr>
        <b/>
        <sz val="10"/>
        <rFont val="Arial"/>
        <family val="2"/>
      </rPr>
      <t xml:space="preserve"> = 100%</t>
    </r>
  </si>
  <si>
    <r>
      <t>%EV</t>
    </r>
    <r>
      <rPr>
        <b/>
        <sz val="10"/>
        <rFont val="Arial"/>
        <family val="2"/>
      </rPr>
      <t xml:space="preserve"> =</t>
    </r>
  </si>
  <si>
    <t>%PV =</t>
  </si>
  <si>
    <t>%GRR =</t>
  </si>
  <si>
    <t>%AV =</t>
  </si>
  <si>
    <r>
      <t>EV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/TV</t>
    </r>
    <r>
      <rPr>
        <b/>
        <vertAlign val="superscript"/>
        <sz val="10"/>
        <rFont val="Arial"/>
        <family val="2"/>
      </rPr>
      <t>2</t>
    </r>
  </si>
  <si>
    <r>
      <t>AV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/TV</t>
    </r>
    <r>
      <rPr>
        <b/>
        <vertAlign val="superscript"/>
        <sz val="10"/>
        <rFont val="Arial"/>
        <family val="2"/>
      </rPr>
      <t>2</t>
    </r>
  </si>
  <si>
    <r>
      <t>GRR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/TV</t>
    </r>
    <r>
      <rPr>
        <b/>
        <vertAlign val="superscript"/>
        <sz val="10"/>
        <rFont val="Arial"/>
        <family val="2"/>
      </rPr>
      <t>2</t>
    </r>
  </si>
  <si>
    <r>
      <t>PV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/TV</t>
    </r>
    <r>
      <rPr>
        <b/>
        <vertAlign val="superscript"/>
        <sz val="10"/>
        <rFont val="Arial"/>
        <family val="2"/>
      </rPr>
      <t>2</t>
    </r>
  </si>
  <si>
    <t>&lt; 20%</t>
  </si>
  <si>
    <t>Range of % PV</t>
  </si>
  <si>
    <t>This Means:</t>
  </si>
  <si>
    <r>
      <t>Part Variance (s</t>
    </r>
    <r>
      <rPr>
        <vertAlign val="subscript"/>
        <sz val="10"/>
        <color indexed="9"/>
        <rFont val="Arial"/>
        <family val="2"/>
      </rPr>
      <t>p</t>
    </r>
    <r>
      <rPr>
        <vertAlign val="superscript"/>
        <sz val="10"/>
        <color indexed="9"/>
        <rFont val="Arial"/>
        <family val="2"/>
      </rPr>
      <t>2</t>
    </r>
    <r>
      <rPr>
        <vertAlign val="subscript"/>
        <sz val="10"/>
        <color indexed="9"/>
        <rFont val="Arial"/>
        <family val="2"/>
      </rPr>
      <t>ave</t>
    </r>
    <r>
      <rPr>
        <sz val="10"/>
        <color indexed="9"/>
        <rFont val="Arial"/>
        <family val="2"/>
      </rPr>
      <t>)</t>
    </r>
  </si>
  <si>
    <r>
      <t>Operator Variance (s</t>
    </r>
    <r>
      <rPr>
        <vertAlign val="subscript"/>
        <sz val="10"/>
        <color indexed="9"/>
        <rFont val="Arial"/>
        <family val="2"/>
      </rPr>
      <t>o</t>
    </r>
    <r>
      <rPr>
        <vertAlign val="superscript"/>
        <sz val="10"/>
        <color indexed="9"/>
        <rFont val="Arial"/>
        <family val="2"/>
      </rPr>
      <t>2</t>
    </r>
    <r>
      <rPr>
        <vertAlign val="subscript"/>
        <sz val="10"/>
        <color indexed="9"/>
        <rFont val="Arial"/>
        <family val="2"/>
      </rPr>
      <t>ave</t>
    </r>
    <r>
      <rPr>
        <sz val="10"/>
        <color indexed="9"/>
        <rFont val="Arial"/>
        <family val="2"/>
      </rPr>
      <t>)</t>
    </r>
  </si>
  <si>
    <t>Actual %PV</t>
  </si>
  <si>
    <r>
      <t>S</t>
    </r>
    <r>
      <rPr>
        <b/>
        <sz val="10"/>
        <rFont val="Arial"/>
        <family val="2"/>
      </rPr>
      <t xml:space="preserve"> &lt;=&gt; 100%</t>
    </r>
  </si>
  <si>
    <t>Previous step: Enter Data</t>
  </si>
  <si>
    <t>Previous step: Setup</t>
  </si>
  <si>
    <t>k</t>
  </si>
  <si>
    <t>ANOME</t>
  </si>
  <si>
    <t>LMR</t>
  </si>
  <si>
    <t>UMR</t>
  </si>
  <si>
    <t>Appraiser</t>
  </si>
  <si>
    <t>Xbarbar</t>
  </si>
  <si>
    <t>Rbarbar</t>
  </si>
  <si>
    <t>CONTROL LIMIT CALCULATIONS</t>
  </si>
  <si>
    <r>
      <t>ANOME</t>
    </r>
    <r>
      <rPr>
        <sz val="10"/>
        <rFont val="Arial"/>
        <family val="2"/>
      </rPr>
      <t>)</t>
    </r>
  </si>
  <si>
    <r>
      <t>UMR</t>
    </r>
    <r>
      <rPr>
        <sz val="10"/>
        <rFont val="Arial"/>
        <family val="2"/>
      </rPr>
      <t>)</t>
    </r>
  </si>
  <si>
    <r>
      <t>LMR</t>
    </r>
    <r>
      <rPr>
        <sz val="10"/>
        <rFont val="Arial"/>
        <family val="2"/>
      </rPr>
      <t>)</t>
    </r>
  </si>
  <si>
    <r>
      <t xml:space="preserve">These tables adopted from </t>
    </r>
    <r>
      <rPr>
        <b/>
        <i/>
        <sz val="8"/>
        <rFont val="Arial"/>
        <family val="2"/>
      </rPr>
      <t>EMP III Using Imperfect Data</t>
    </r>
    <r>
      <rPr>
        <sz val="8"/>
        <rFont val="Arial"/>
        <family val="2"/>
      </rPr>
      <t>, Donald Wheeler, 2006, SPC Press</t>
    </r>
  </si>
  <si>
    <t>Analysis of Mean Effects (ANOME)</t>
  </si>
  <si>
    <t>Analysis of Mean Range (ANOMR)</t>
  </si>
  <si>
    <r>
      <t>ANOME</t>
    </r>
    <r>
      <rPr>
        <b/>
        <vertAlign val="subscript"/>
        <sz val="10"/>
        <rFont val="Arial"/>
        <family val="2"/>
      </rPr>
      <t>.05</t>
    </r>
  </si>
  <si>
    <r>
      <t>LMR</t>
    </r>
    <r>
      <rPr>
        <b/>
        <vertAlign val="subscript"/>
        <sz val="10"/>
        <rFont val="Arial"/>
        <family val="2"/>
      </rPr>
      <t>.05</t>
    </r>
  </si>
  <si>
    <r>
      <t>UMR</t>
    </r>
    <r>
      <rPr>
        <b/>
        <vertAlign val="subscript"/>
        <sz val="10"/>
        <rFont val="Arial"/>
        <family val="2"/>
      </rPr>
      <t>.05</t>
    </r>
  </si>
  <si>
    <t>control limits 95% of the time.</t>
  </si>
  <si>
    <r>
      <t xml:space="preserve">In the absence of systematic differences between these </t>
    </r>
    <r>
      <rPr>
        <b/>
        <i/>
        <sz val="10"/>
        <rFont val="Arial"/>
        <family val="2"/>
      </rPr>
      <t>m</t>
    </r>
    <r>
      <rPr>
        <sz val="10"/>
        <rFont val="Arial"/>
        <family val="2"/>
      </rPr>
      <t xml:space="preserve"> Averages/Ranges, they will all fall within the calculated</t>
    </r>
  </si>
  <si>
    <t>m - # appraisers, n = number of trials, k = # of measurements per trial (m x n)</t>
  </si>
  <si>
    <t>Click here for the Appraiser Consistency Chart</t>
  </si>
  <si>
    <t>Appraiser Bias Chart</t>
  </si>
  <si>
    <t>Appraiser Consistency Chart</t>
  </si>
  <si>
    <t>Appraiser Chart Critical Value Tables</t>
  </si>
  <si>
    <t>Appraiser  Bias</t>
  </si>
  <si>
    <t>Appraiser  Consistency</t>
  </si>
  <si>
    <t>If all data points are within the control limits, there is a 95% probability that there is no operator bias present.</t>
  </si>
  <si>
    <t>If all data points are within the control limits, there is a 95% probability that there is no inconsistency of measurement accross appraisers.</t>
  </si>
  <si>
    <t>Back to the Results</t>
  </si>
  <si>
    <t>Range of % GRR</t>
  </si>
  <si>
    <t>&gt; 30%</t>
  </si>
  <si>
    <t>The measurement system needs improvement. Make every effort to identify the problems and have them corrected.</t>
  </si>
  <si>
    <t>The measurement system may be acceptable based on importance of application, cost of gage, cost of repairs, etc.</t>
  </si>
  <si>
    <t>Interpretation of Results for the AIAG Method</t>
  </si>
  <si>
    <t>Click here for results interpretation</t>
  </si>
  <si>
    <t>The measurement system is acceptable</t>
  </si>
  <si>
    <t>Click here for a key to terms used in the equations</t>
  </si>
  <si>
    <t>Range
Chart</t>
  </si>
  <si>
    <t>Averages
Chart</t>
  </si>
  <si>
    <t>Actual GRR%</t>
  </si>
  <si>
    <t># appraisers</t>
  </si>
  <si>
    <t>1 or 2*</t>
  </si>
  <si>
    <t>* 1 if there are 2 appraisers, 2 if there are 3 appraisers</t>
  </si>
  <si>
    <t>Appraiser
Bias
Chart</t>
  </si>
  <si>
    <t>Appraiser
Consistency
Chart</t>
  </si>
  <si>
    <t>Refer To:</t>
  </si>
  <si>
    <t>Result:</t>
  </si>
  <si>
    <t>Method</t>
  </si>
  <si>
    <t>Component Variance</t>
  </si>
  <si>
    <t>There may be appraiser bias present</t>
  </si>
  <si>
    <t>There is likely appraiser bias present</t>
  </si>
  <si>
    <t>Bias</t>
  </si>
  <si>
    <t>Consistency</t>
  </si>
  <si>
    <t>The results may be inconsistent across appraisers</t>
  </si>
  <si>
    <t>The results are likely inconsistent across appraisers</t>
  </si>
  <si>
    <t>Click here for the Range Chart</t>
  </si>
  <si>
    <t>&gt; required information</t>
  </si>
  <si>
    <t>&gt; excess information - clear contents</t>
  </si>
  <si>
    <t>&gt; results information</t>
  </si>
  <si>
    <t>Information Entry Key</t>
  </si>
  <si>
    <t>Interpretation of Results for the Component Variance Method</t>
  </si>
  <si>
    <t>Review Bias &amp; Consistency Charts</t>
  </si>
  <si>
    <t>Review Averages &amp; Range Charts</t>
  </si>
  <si>
    <t>If all data points are within the control limit, there is no inconsistency of measurement accross appraisers.</t>
  </si>
  <si>
    <t xml:space="preserve">The results are consistent across appraisers </t>
  </si>
  <si>
    <t xml:space="preserve">There is no appraiser bias present </t>
  </si>
  <si>
    <t>1) Enter information in Setup worksheet</t>
  </si>
  <si>
    <r>
      <t xml:space="preserve">2) Enter information in </t>
    </r>
    <r>
      <rPr>
        <b/>
        <u/>
        <sz val="10"/>
        <color indexed="48"/>
        <rFont val="Arial"/>
        <family val="2"/>
      </rPr>
      <t>Data worksheet</t>
    </r>
  </si>
  <si>
    <r>
      <t xml:space="preserve">4) Review </t>
    </r>
    <r>
      <rPr>
        <b/>
        <u/>
        <sz val="10"/>
        <color indexed="48"/>
        <rFont val="Arial"/>
        <family val="2"/>
      </rPr>
      <t>Results worksheet</t>
    </r>
  </si>
  <si>
    <t>3) Remove any data in cells highlighted yellow</t>
  </si>
  <si>
    <t>&gt; intermediate calculations/results</t>
  </si>
  <si>
    <r>
      <t>Relative Utility:</t>
    </r>
    <r>
      <rPr>
        <b/>
        <i/>
        <sz val="8"/>
        <color indexed="18"/>
        <rFont val="Arial"/>
        <family val="2"/>
      </rPr>
      <t xml:space="preserve"> </t>
    </r>
    <r>
      <rPr>
        <sz val="9"/>
        <color indexed="18"/>
        <rFont val="Arial"/>
        <family val="2"/>
      </rPr>
      <t xml:space="preserve">Goal </t>
    </r>
    <r>
      <rPr>
        <i/>
        <sz val="9"/>
        <color indexed="18"/>
        <rFont val="Arial"/>
        <family val="2"/>
      </rPr>
      <t>-</t>
    </r>
    <r>
      <rPr>
        <b/>
        <i/>
        <sz val="8"/>
        <color indexed="18"/>
        <rFont val="Arial"/>
        <family val="2"/>
      </rPr>
      <t xml:space="preserve"> </t>
    </r>
    <r>
      <rPr>
        <sz val="9"/>
        <color indexed="18"/>
        <rFont val="Arial"/>
        <family val="2"/>
      </rPr>
      <t>at least 80% of measurement is error attributable to the product</t>
    </r>
  </si>
  <si>
    <r>
      <t xml:space="preserve">6) Review </t>
    </r>
    <r>
      <rPr>
        <b/>
        <u/>
        <sz val="10"/>
        <color indexed="48"/>
        <rFont val="Arial"/>
        <family val="2"/>
      </rPr>
      <t>Averages &amp; Ranges charts</t>
    </r>
  </si>
  <si>
    <r>
      <t xml:space="preserve">5) Review </t>
    </r>
    <r>
      <rPr>
        <b/>
        <u/>
        <sz val="10"/>
        <color indexed="48"/>
        <rFont val="Arial"/>
        <family val="2"/>
      </rPr>
      <t>Bias &amp; Consistency charts</t>
    </r>
  </si>
  <si>
    <t>&gt; setup information (optional)</t>
  </si>
  <si>
    <t>&gt;= 80%</t>
  </si>
  <si>
    <t>50% &lt;= %PV &lt; 80%</t>
  </si>
  <si>
    <t>20% &lt;= %PV &lt; 50%</t>
  </si>
  <si>
    <t>&lt;= 10%</t>
  </si>
  <si>
    <t>10% &lt; %GRR &lt;= 30%</t>
  </si>
  <si>
    <t>The measurement system is acceptable for measurement and will be an excellent quantifier of process improvement.</t>
  </si>
  <si>
    <t>The measurement system is acceptable for measurement and will be an adequate quantifier of process improvement.</t>
  </si>
  <si>
    <t>The measurement system is acceptable for measurement and will be a marginal quantifier of process improvement.</t>
  </si>
  <si>
    <t>The measurement system is not acceptable for measurement and will not be able to quantify process improvement.</t>
  </si>
  <si>
    <t>g</t>
  </si>
  <si>
    <t>&gt; 15</t>
  </si>
  <si>
    <t>m =# Trials, g = # Parts x # Appraisers</t>
  </si>
  <si>
    <r>
      <t>d</t>
    </r>
    <r>
      <rPr>
        <b/>
        <vertAlign val="subscript"/>
        <sz val="10"/>
        <rFont val="Arial"/>
        <family val="2"/>
      </rPr>
      <t>2</t>
    </r>
    <r>
      <rPr>
        <b/>
        <vertAlign val="superscript"/>
        <sz val="10"/>
        <rFont val="Arial"/>
        <family val="2"/>
      </rPr>
      <t>*</t>
    </r>
    <r>
      <rPr>
        <b/>
        <vertAlign val="subscript"/>
        <sz val="10"/>
        <rFont val="Arial"/>
        <family val="2"/>
      </rPr>
      <t>EV</t>
    </r>
  </si>
  <si>
    <r>
      <t>d</t>
    </r>
    <r>
      <rPr>
        <b/>
        <vertAlign val="subscript"/>
        <sz val="10"/>
        <rFont val="Arial"/>
        <family val="2"/>
      </rPr>
      <t>2</t>
    </r>
    <r>
      <rPr>
        <b/>
        <vertAlign val="superscript"/>
        <sz val="10"/>
        <rFont val="Arial"/>
        <family val="2"/>
      </rPr>
      <t>*</t>
    </r>
    <r>
      <rPr>
        <b/>
        <vertAlign val="subscript"/>
        <sz val="10"/>
        <rFont val="Arial"/>
        <family val="2"/>
      </rPr>
      <t>AV</t>
    </r>
  </si>
  <si>
    <r>
      <t>d</t>
    </r>
    <r>
      <rPr>
        <b/>
        <vertAlign val="subscript"/>
        <sz val="10"/>
        <rFont val="Arial"/>
        <family val="2"/>
      </rPr>
      <t>2</t>
    </r>
    <r>
      <rPr>
        <b/>
        <vertAlign val="superscript"/>
        <sz val="10"/>
        <rFont val="Arial"/>
        <family val="2"/>
      </rPr>
      <t>*</t>
    </r>
    <r>
      <rPr>
        <b/>
        <vertAlign val="subscript"/>
        <sz val="10"/>
        <rFont val="Arial"/>
        <family val="2"/>
      </rPr>
      <t>PV</t>
    </r>
  </si>
  <si>
    <r>
      <t>R</t>
    </r>
    <r>
      <rPr>
        <b/>
        <vertAlign val="subscript"/>
        <sz val="10"/>
        <rFont val="Arial"/>
        <family val="2"/>
      </rPr>
      <t xml:space="preserve">doublebar </t>
    </r>
    <r>
      <rPr>
        <b/>
        <sz val="10"/>
        <rFont val="Arial"/>
        <family val="2"/>
      </rPr>
      <t>/ d</t>
    </r>
    <r>
      <rPr>
        <b/>
        <vertAlign val="subscript"/>
        <sz val="10"/>
        <rFont val="Arial"/>
        <family val="2"/>
      </rPr>
      <t>2</t>
    </r>
    <r>
      <rPr>
        <b/>
        <vertAlign val="superscript"/>
        <sz val="10"/>
        <rFont val="Arial"/>
        <family val="2"/>
      </rPr>
      <t>*</t>
    </r>
    <r>
      <rPr>
        <b/>
        <vertAlign val="subscript"/>
        <sz val="10"/>
        <rFont val="Arial"/>
        <family val="2"/>
      </rPr>
      <t>EV</t>
    </r>
  </si>
  <si>
    <r>
      <t>{[R</t>
    </r>
    <r>
      <rPr>
        <b/>
        <vertAlign val="sub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/ d</t>
    </r>
    <r>
      <rPr>
        <b/>
        <vertAlign val="subscript"/>
        <sz val="10"/>
        <rFont val="Arial"/>
        <family val="2"/>
      </rPr>
      <t>2</t>
    </r>
    <r>
      <rPr>
        <b/>
        <vertAlign val="superscript"/>
        <sz val="10"/>
        <rFont val="Arial"/>
        <family val="2"/>
      </rPr>
      <t>*</t>
    </r>
    <r>
      <rPr>
        <b/>
        <vertAlign val="subscript"/>
        <sz val="10"/>
        <rFont val="Arial"/>
        <family val="2"/>
      </rPr>
      <t>AV</t>
    </r>
    <r>
      <rPr>
        <b/>
        <sz val="10"/>
        <rFont val="Arial"/>
        <family val="2"/>
      </rPr>
      <t>]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- [EV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/ (n x p)]}</t>
    </r>
    <r>
      <rPr>
        <b/>
        <vertAlign val="superscript"/>
        <sz val="10"/>
        <rFont val="Arial"/>
        <family val="2"/>
      </rPr>
      <t>0.5</t>
    </r>
  </si>
  <si>
    <r>
      <t>Rp / d</t>
    </r>
    <r>
      <rPr>
        <b/>
        <vertAlign val="subscript"/>
        <sz val="10"/>
        <rFont val="Arial"/>
        <family val="2"/>
      </rPr>
      <t>2</t>
    </r>
    <r>
      <rPr>
        <b/>
        <vertAlign val="superscript"/>
        <sz val="10"/>
        <rFont val="Arial"/>
        <family val="2"/>
      </rPr>
      <t>*</t>
    </r>
    <r>
      <rPr>
        <b/>
        <vertAlign val="subscript"/>
        <sz val="10"/>
        <rFont val="Arial"/>
        <family val="2"/>
      </rPr>
      <t>PV</t>
    </r>
  </si>
  <si>
    <t>m = # Appraisers, g = 1 (only 1 range)</t>
  </si>
  <si>
    <t>m = # Parts, g = 1 (only 1 range)</t>
  </si>
  <si>
    <t xml:space="preserve">Equipment </t>
  </si>
  <si>
    <t xml:space="preserve">Appraisers </t>
  </si>
  <si>
    <t xml:space="preserve">Parts </t>
  </si>
  <si>
    <t>MoreSteam Recommended Alternative</t>
  </si>
  <si>
    <t>% of Total Variation</t>
  </si>
  <si>
    <t>VARIABLE MSA - GAUGE R &amp; R - DATA ENTRY</t>
  </si>
  <si>
    <t>VARIABLE MSA - GAUGE R &amp; R - RESULTS</t>
  </si>
  <si>
    <r>
      <t>Relative Utility:</t>
    </r>
    <r>
      <rPr>
        <i/>
        <sz val="9"/>
        <color indexed="18"/>
        <rFont val="Arial"/>
        <family val="2"/>
      </rPr>
      <t xml:space="preserve"> </t>
    </r>
    <r>
      <rPr>
        <sz val="9"/>
        <color indexed="18"/>
        <rFont val="Arial"/>
        <family val="2"/>
      </rPr>
      <t>Goal - gauge R&amp;R% is less than 10%</t>
    </r>
  </si>
  <si>
    <t>VARIABLE MSA - GAUGE R &amp; R - BIAS &amp; CONSISTENCY CHARTS</t>
  </si>
  <si>
    <t>VARIABLE MSA - GAUGE R &amp; R - AVERAGE AND RANGE CHARTS</t>
  </si>
  <si>
    <t>VARIABLE MSA - GAUGE R &amp; R - BIAS &amp; CONSISTENCY CHART CRITICAL VALUES</t>
  </si>
  <si>
    <t>d2*</t>
  </si>
  <si>
    <t>All appraisers have at least 50% of averages outside the Averages Chart control limits</t>
  </si>
  <si>
    <t xml:space="preserve"> appraiser has less than 50% of the averages outside the Averages Chart control limits</t>
  </si>
  <si>
    <t xml:space="preserve"> appraisers have less than 50% of the averages outside the Averages Chart control limits</t>
  </si>
  <si>
    <t>All appraisers averages are within the Bisas Chart control limits</t>
  </si>
  <si>
    <t>All appraisers ranges are within the Range Chart control limits</t>
  </si>
  <si>
    <t>1 appraiser has at least one average value outside the Bias Chart control limits</t>
  </si>
  <si>
    <t>2 appraisers have at least one average value outside the Bias Chart control limits</t>
  </si>
  <si>
    <t>3 appraisers have at least one average value outside the Bias Chart control limits</t>
  </si>
  <si>
    <t>1 appraiser has at least one range value outside the Range Chart control limits</t>
  </si>
  <si>
    <t>2 appraisers have at least one range value outside the Range Chart control limits</t>
  </si>
  <si>
    <t>3 appraisers have at least one range value outside the Range Chart control limits</t>
  </si>
  <si>
    <t>There is no appraiser bias present</t>
  </si>
  <si>
    <t>System</t>
  </si>
  <si>
    <t>The measurement system has adequate resolution to detect part-to-part variation</t>
  </si>
  <si>
    <t>The measurement system may not have adequate resolution to detect part-to-part variation</t>
  </si>
  <si>
    <t>The measurement system does not have adequate resolution to detect part-to-part variation</t>
  </si>
  <si>
    <t>All appraisers ranges are within the Consistency Chart control limits</t>
  </si>
  <si>
    <t>1 appraiser has at least one range value outside the Consistency Chart control limits</t>
  </si>
  <si>
    <t>2 appraisers have at least one range value outside the Consistency Chart control limits</t>
  </si>
  <si>
    <t>3 appraisers have at least one range value outside the Consistenct Chart control limits</t>
  </si>
  <si>
    <r>
      <t xml:space="preserve">Bias: </t>
    </r>
    <r>
      <rPr>
        <sz val="9"/>
        <color indexed="18"/>
        <rFont val="Arial"/>
        <family val="2"/>
      </rPr>
      <t>Goal - all appraiser averages within Bias Chart control limits</t>
    </r>
  </si>
  <si>
    <t>Value</t>
  </si>
  <si>
    <r>
      <t xml:space="preserve">Consistency: </t>
    </r>
    <r>
      <rPr>
        <sz val="9"/>
        <color indexed="18"/>
        <rFont val="Arial"/>
        <family val="2"/>
      </rPr>
      <t>Goal - all appraisers ranges within Consistency Chart control limits</t>
    </r>
  </si>
  <si>
    <r>
      <t xml:space="preserve">System Resolution: </t>
    </r>
    <r>
      <rPr>
        <sz val="9"/>
        <color indexed="18"/>
        <rFont val="Arial"/>
        <family val="2"/>
      </rPr>
      <t>Goal - all appraisers have at least 50% of average values outside the Averages Chart control limits</t>
    </r>
  </si>
  <si>
    <t># Appraisers</t>
  </si>
  <si>
    <t>&lt; # Appraisers</t>
  </si>
  <si>
    <r>
      <t xml:space="preserve">Consistency: </t>
    </r>
    <r>
      <rPr>
        <sz val="9"/>
        <color indexed="18"/>
        <rFont val="Arial"/>
        <family val="2"/>
      </rPr>
      <t>Goal - all appraisers have all range values below the Range Chart upper control limit</t>
    </r>
  </si>
  <si>
    <t>If 50% or more of the averages for each appraiser are are outside the control limits, the measurement system has adequate resolution to detect part-to-part variaion.</t>
  </si>
  <si>
    <t>vl-01</t>
  </si>
  <si>
    <t>mm</t>
  </si>
  <si>
    <t>VARIABLE MSA - GAUGE R &amp; R - SETUP INFORMATION</t>
  </si>
  <si>
    <t>Vernier Caliper</t>
  </si>
  <si>
    <t>Variable</t>
  </si>
  <si>
    <t>Length</t>
  </si>
  <si>
    <t>Rasik J</t>
  </si>
  <si>
    <t>Ramu K</t>
  </si>
  <si>
    <t>Tapan V</t>
  </si>
  <si>
    <t>Montu R</t>
  </si>
  <si>
    <t>215.50 +- 0.50</t>
  </si>
  <si>
    <t>All things reserved to GCPL</t>
  </si>
  <si>
    <t>VARIABLE MSA - GAUGE R &amp; R - d2*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</si>
</sst>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0.0000"/>
    <numFmt numFmtId="167" formatCode="0.0%"/>
    <numFmt numFmtId="168" formatCode="[$-409]mmmm\ d\,\ yyyy;@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62"/>
      <name val="Arial"/>
      <family val="2"/>
    </font>
    <font>
      <b/>
      <sz val="8"/>
      <color indexed="6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0"/>
      <color indexed="62"/>
      <name val="Arial"/>
      <family val="2"/>
    </font>
    <font>
      <b/>
      <i/>
      <sz val="10"/>
      <color indexed="10"/>
      <name val="Arial"/>
      <family val="2"/>
    </font>
    <font>
      <u/>
      <vertAlign val="subscript"/>
      <sz val="10"/>
      <color indexed="12"/>
      <name val="Arial"/>
      <family val="2"/>
    </font>
    <font>
      <b/>
      <i/>
      <sz val="8"/>
      <name val="Arial"/>
      <family val="2"/>
    </font>
    <font>
      <b/>
      <sz val="10"/>
      <name val="Symbol"/>
      <family val="1"/>
      <charset val="2"/>
    </font>
    <font>
      <vertAlign val="subscript"/>
      <sz val="10"/>
      <color indexed="9"/>
      <name val="Arial"/>
      <family val="2"/>
    </font>
    <font>
      <vertAlign val="superscript"/>
      <sz val="10"/>
      <color indexed="9"/>
      <name val="Arial"/>
      <family val="2"/>
    </font>
    <font>
      <b/>
      <i/>
      <sz val="10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9"/>
      <name val="Arial"/>
      <family val="2"/>
    </font>
    <font>
      <u/>
      <sz val="10"/>
      <color indexed="9"/>
      <name val="Arial"/>
      <family val="2"/>
    </font>
    <font>
      <i/>
      <sz val="9"/>
      <color indexed="18"/>
      <name val="Arial"/>
      <family val="2"/>
    </font>
    <font>
      <b/>
      <i/>
      <u/>
      <sz val="10"/>
      <color indexed="62"/>
      <name val="Arial"/>
      <family val="2"/>
    </font>
    <font>
      <b/>
      <u/>
      <sz val="10"/>
      <color indexed="48"/>
      <name val="Arial"/>
      <family val="2"/>
    </font>
    <font>
      <b/>
      <i/>
      <sz val="8"/>
      <color indexed="18"/>
      <name val="Arial"/>
      <family val="2"/>
    </font>
    <font>
      <b/>
      <sz val="12"/>
      <color indexed="9"/>
      <name val="Arial"/>
      <family val="2"/>
    </font>
    <font>
      <sz val="9"/>
      <color indexed="18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/>
      <right style="thin">
        <color indexed="62"/>
      </right>
      <top style="thin">
        <color indexed="62"/>
      </top>
      <bottom style="medium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2"/>
      </top>
      <bottom/>
      <diagonal/>
    </border>
    <border>
      <left/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thin">
        <color indexed="62"/>
      </right>
      <top style="thin">
        <color indexed="62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double">
        <color indexed="62"/>
      </top>
      <bottom style="thin">
        <color indexed="62"/>
      </bottom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dotted">
        <color indexed="18"/>
      </top>
      <bottom/>
      <diagonal/>
    </border>
    <border>
      <left/>
      <right/>
      <top style="dotted">
        <color indexed="18"/>
      </top>
      <bottom/>
      <diagonal/>
    </border>
    <border>
      <left/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2"/>
      </right>
      <top/>
      <bottom/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6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5" fillId="0" borderId="9" xfId="0" applyFont="1" applyBorder="1" applyAlignment="1">
      <alignment horizontal="center"/>
    </xf>
    <xf numFmtId="0" fontId="8" fillId="0" borderId="10" xfId="0" applyFont="1" applyBorder="1"/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8" fillId="0" borderId="12" xfId="0" applyFont="1" applyBorder="1"/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8" fillId="0" borderId="13" xfId="0" applyFont="1" applyBorder="1"/>
    <xf numFmtId="0" fontId="8" fillId="0" borderId="14" xfId="0" applyFont="1" applyBorder="1"/>
    <xf numFmtId="165" fontId="2" fillId="2" borderId="0" xfId="0" applyNumberFormat="1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166" fontId="2" fillId="2" borderId="0" xfId="0" applyNumberFormat="1" applyFont="1" applyFill="1"/>
    <xf numFmtId="166" fontId="12" fillId="2" borderId="0" xfId="0" applyNumberFormat="1" applyFont="1" applyFill="1"/>
    <xf numFmtId="0" fontId="12" fillId="2" borderId="16" xfId="0" applyFont="1" applyFill="1" applyBorder="1"/>
    <xf numFmtId="166" fontId="12" fillId="2" borderId="17" xfId="0" applyNumberFormat="1" applyFont="1" applyFill="1" applyBorder="1"/>
    <xf numFmtId="0" fontId="0" fillId="0" borderId="16" xfId="0" applyBorder="1"/>
    <xf numFmtId="0" fontId="12" fillId="2" borderId="16" xfId="0" applyFont="1" applyFill="1" applyBorder="1" applyAlignment="1">
      <alignment horizontal="center"/>
    </xf>
    <xf numFmtId="165" fontId="12" fillId="3" borderId="8" xfId="0" applyNumberFormat="1" applyFont="1" applyFill="1" applyBorder="1"/>
    <xf numFmtId="166" fontId="12" fillId="2" borderId="1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0" fillId="3" borderId="6" xfId="0" applyFill="1" applyBorder="1"/>
    <xf numFmtId="0" fontId="2" fillId="2" borderId="6" xfId="0" applyFont="1" applyFill="1" applyBorder="1"/>
    <xf numFmtId="165" fontId="2" fillId="2" borderId="6" xfId="0" applyNumberFormat="1" applyFont="1" applyFill="1" applyBorder="1"/>
    <xf numFmtId="0" fontId="0" fillId="0" borderId="18" xfId="0" applyBorder="1"/>
    <xf numFmtId="0" fontId="0" fillId="0" borderId="16" xfId="0" applyBorder="1" applyAlignment="1">
      <alignment horizontal="center"/>
    </xf>
    <xf numFmtId="0" fontId="0" fillId="3" borderId="16" xfId="0" applyFill="1" applyBorder="1"/>
    <xf numFmtId="0" fontId="0" fillId="3" borderId="8" xfId="0" applyFill="1" applyBorder="1"/>
    <xf numFmtId="0" fontId="8" fillId="2" borderId="1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9" xfId="0" applyBorder="1"/>
    <xf numFmtId="0" fontId="8" fillId="0" borderId="16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16" xfId="0" applyFont="1" applyBorder="1"/>
    <xf numFmtId="0" fontId="8" fillId="0" borderId="16" xfId="0" quotePrefix="1" applyFont="1" applyBorder="1"/>
    <xf numFmtId="167" fontId="0" fillId="4" borderId="8" xfId="3" applyNumberFormat="1" applyFont="1" applyFill="1" applyBorder="1"/>
    <xf numFmtId="0" fontId="8" fillId="0" borderId="17" xfId="0" applyFont="1" applyBorder="1"/>
    <xf numFmtId="165" fontId="2" fillId="2" borderId="25" xfId="0" applyNumberFormat="1" applyFont="1" applyFill="1" applyBorder="1"/>
    <xf numFmtId="0" fontId="2" fillId="2" borderId="26" xfId="0" applyFont="1" applyFill="1" applyBorder="1"/>
    <xf numFmtId="166" fontId="2" fillId="2" borderId="26" xfId="0" applyNumberFormat="1" applyFont="1" applyFill="1" applyBorder="1"/>
    <xf numFmtId="0" fontId="2" fillId="2" borderId="27" xfId="0" applyFont="1" applyFill="1" applyBorder="1"/>
    <xf numFmtId="165" fontId="2" fillId="2" borderId="26" xfId="0" applyNumberFormat="1" applyFont="1" applyFill="1" applyBorder="1"/>
    <xf numFmtId="165" fontId="2" fillId="2" borderId="27" xfId="0" applyNumberFormat="1" applyFont="1" applyFill="1" applyBorder="1"/>
    <xf numFmtId="165" fontId="2" fillId="2" borderId="28" xfId="0" applyNumberFormat="1" applyFont="1" applyFill="1" applyBorder="1"/>
    <xf numFmtId="0" fontId="2" fillId="2" borderId="29" xfId="0" applyFont="1" applyFill="1" applyBorder="1"/>
    <xf numFmtId="165" fontId="2" fillId="2" borderId="29" xfId="0" applyNumberFormat="1" applyFont="1" applyFill="1" applyBorder="1"/>
    <xf numFmtId="0" fontId="2" fillId="2" borderId="28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165" fontId="2" fillId="2" borderId="31" xfId="0" applyNumberFormat="1" applyFont="1" applyFill="1" applyBorder="1"/>
    <xf numFmtId="166" fontId="2" fillId="2" borderId="31" xfId="0" applyNumberFormat="1" applyFont="1" applyFill="1" applyBorder="1"/>
    <xf numFmtId="0" fontId="2" fillId="2" borderId="32" xfId="0" applyFont="1" applyFill="1" applyBorder="1"/>
    <xf numFmtId="165" fontId="2" fillId="2" borderId="32" xfId="0" applyNumberFormat="1" applyFont="1" applyFill="1" applyBorder="1"/>
    <xf numFmtId="0" fontId="8" fillId="0" borderId="16" xfId="0" applyFont="1" applyBorder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/>
    <xf numFmtId="0" fontId="16" fillId="2" borderId="0" xfId="0" applyFont="1" applyFill="1"/>
    <xf numFmtId="0" fontId="16" fillId="5" borderId="0" xfId="0" applyFont="1" applyFill="1"/>
    <xf numFmtId="0" fontId="16" fillId="6" borderId="0" xfId="0" applyFont="1" applyFill="1"/>
    <xf numFmtId="0" fontId="16" fillId="4" borderId="0" xfId="0" applyFont="1" applyFill="1"/>
    <xf numFmtId="0" fontId="18" fillId="0" borderId="0" xfId="0" applyFont="1"/>
    <xf numFmtId="0" fontId="15" fillId="2" borderId="0" xfId="0" applyFont="1" applyFill="1" applyAlignment="1">
      <alignment horizontal="right" vertical="center" indent="1"/>
    </xf>
    <xf numFmtId="0" fontId="16" fillId="6" borderId="24" xfId="0" applyFont="1" applyFill="1" applyBorder="1"/>
    <xf numFmtId="0" fontId="14" fillId="0" borderId="0" xfId="2" quotePrefix="1" applyAlignment="1" applyProtection="1"/>
    <xf numFmtId="0" fontId="7" fillId="0" borderId="0" xfId="0" applyFont="1" applyAlignment="1">
      <alignment horizontal="center"/>
    </xf>
    <xf numFmtId="0" fontId="0" fillId="0" borderId="6" xfId="0" applyBorder="1"/>
    <xf numFmtId="0" fontId="0" fillId="0" borderId="34" xfId="0" applyBorder="1"/>
    <xf numFmtId="0" fontId="14" fillId="0" borderId="35" xfId="2" applyFill="1" applyBorder="1" applyAlignment="1" applyProtection="1">
      <alignment horizontal="left" indent="1"/>
    </xf>
    <xf numFmtId="0" fontId="14" fillId="0" borderId="34" xfId="2" quotePrefix="1" applyFill="1" applyBorder="1" applyAlignment="1" applyProtection="1"/>
    <xf numFmtId="0" fontId="14" fillId="0" borderId="34" xfId="2" applyBorder="1" applyAlignment="1" applyProtection="1"/>
    <xf numFmtId="0" fontId="14" fillId="0" borderId="36" xfId="2" applyFill="1" applyBorder="1" applyAlignment="1" applyProtection="1">
      <alignment horizontal="left" indent="1"/>
    </xf>
    <xf numFmtId="0" fontId="14" fillId="0" borderId="16" xfId="2" quotePrefix="1" applyFill="1" applyBorder="1" applyAlignment="1" applyProtection="1"/>
    <xf numFmtId="0" fontId="14" fillId="0" borderId="16" xfId="2" applyBorder="1" applyAlignment="1" applyProtection="1"/>
    <xf numFmtId="0" fontId="14" fillId="0" borderId="16" xfId="2" quotePrefix="1" applyBorder="1" applyAlignment="1" applyProtection="1"/>
    <xf numFmtId="0" fontId="14" fillId="0" borderId="24" xfId="2" quotePrefix="1" applyBorder="1" applyAlignment="1" applyProtection="1"/>
    <xf numFmtId="0" fontId="14" fillId="0" borderId="24" xfId="2" applyBorder="1" applyAlignment="1" applyProtection="1"/>
    <xf numFmtId="0" fontId="14" fillId="0" borderId="37" xfId="2" applyBorder="1" applyAlignment="1" applyProtection="1">
      <alignment horizontal="left" indent="1"/>
    </xf>
    <xf numFmtId="0" fontId="14" fillId="0" borderId="36" xfId="2" applyBorder="1" applyAlignment="1" applyProtection="1">
      <alignment horizontal="left" indent="1"/>
    </xf>
    <xf numFmtId="0" fontId="0" fillId="0" borderId="31" xfId="0" applyBorder="1"/>
    <xf numFmtId="0" fontId="5" fillId="2" borderId="20" xfId="0" applyFont="1" applyFill="1" applyBorder="1"/>
    <xf numFmtId="0" fontId="19" fillId="0" borderId="0" xfId="0" applyFont="1" applyAlignment="1">
      <alignment horizontal="left" indent="2"/>
    </xf>
    <xf numFmtId="0" fontId="8" fillId="0" borderId="22" xfId="0" applyFont="1" applyBorder="1"/>
    <xf numFmtId="0" fontId="0" fillId="2" borderId="0" xfId="0" applyFill="1"/>
    <xf numFmtId="0" fontId="4" fillId="2" borderId="20" xfId="0" applyFont="1" applyFill="1" applyBorder="1" applyAlignment="1">
      <alignment horizontal="left"/>
    </xf>
    <xf numFmtId="0" fontId="14" fillId="0" borderId="0" xfId="2" applyBorder="1" applyAlignment="1" applyProtection="1"/>
    <xf numFmtId="0" fontId="3" fillId="0" borderId="0" xfId="0" applyFont="1" applyAlignment="1">
      <alignment horizontal="center"/>
    </xf>
    <xf numFmtId="0" fontId="14" fillId="0" borderId="38" xfId="2" applyBorder="1" applyAlignment="1" applyProtection="1"/>
    <xf numFmtId="0" fontId="14" fillId="0" borderId="39" xfId="2" applyBorder="1" applyAlignment="1" applyProtection="1"/>
    <xf numFmtId="0" fontId="0" fillId="0" borderId="39" xfId="0" applyBorder="1"/>
    <xf numFmtId="0" fontId="0" fillId="0" borderId="40" xfId="0" applyBorder="1"/>
    <xf numFmtId="164" fontId="0" fillId="0" borderId="11" xfId="1" applyFont="1" applyFill="1" applyBorder="1"/>
    <xf numFmtId="164" fontId="0" fillId="0" borderId="7" xfId="1" applyFont="1" applyFill="1" applyBorder="1"/>
    <xf numFmtId="164" fontId="0" fillId="0" borderId="8" xfId="1" applyFont="1" applyFill="1" applyBorder="1"/>
    <xf numFmtId="164" fontId="0" fillId="0" borderId="6" xfId="1" applyFont="1" applyFill="1" applyBorder="1"/>
    <xf numFmtId="164" fontId="0" fillId="0" borderId="41" xfId="1" applyFont="1" applyFill="1" applyBorder="1"/>
    <xf numFmtId="164" fontId="0" fillId="0" borderId="42" xfId="1" applyFont="1" applyFill="1" applyBorder="1"/>
    <xf numFmtId="164" fontId="5" fillId="0" borderId="11" xfId="1" applyFont="1" applyBorder="1"/>
    <xf numFmtId="164" fontId="5" fillId="0" borderId="7" xfId="1" applyFont="1" applyBorder="1"/>
    <xf numFmtId="164" fontId="5" fillId="0" borderId="8" xfId="1" applyFont="1" applyBorder="1"/>
    <xf numFmtId="164" fontId="5" fillId="0" borderId="6" xfId="1" applyFont="1" applyBorder="1"/>
    <xf numFmtId="164" fontId="0" fillId="0" borderId="0" xfId="1" applyFont="1" applyBorder="1"/>
    <xf numFmtId="164" fontId="8" fillId="0" borderId="0" xfId="1" applyFont="1" applyBorder="1"/>
    <xf numFmtId="164" fontId="0" fillId="0" borderId="11" xfId="1" applyFont="1" applyBorder="1"/>
    <xf numFmtId="164" fontId="0" fillId="0" borderId="7" xfId="1" applyFont="1" applyBorder="1"/>
    <xf numFmtId="164" fontId="0" fillId="0" borderId="8" xfId="1" applyFont="1" applyBorder="1"/>
    <xf numFmtId="164" fontId="0" fillId="0" borderId="6" xfId="1" applyFont="1" applyBorder="1"/>
    <xf numFmtId="164" fontId="0" fillId="0" borderId="41" xfId="1" applyFont="1" applyBorder="1"/>
    <xf numFmtId="164" fontId="0" fillId="0" borderId="42" xfId="1" applyFont="1" applyBorder="1"/>
    <xf numFmtId="2" fontId="5" fillId="0" borderId="11" xfId="0" applyNumberFormat="1" applyFont="1" applyBorder="1"/>
    <xf numFmtId="2" fontId="5" fillId="0" borderId="8" xfId="0" applyNumberFormat="1" applyFont="1" applyBorder="1"/>
    <xf numFmtId="2" fontId="5" fillId="0" borderId="41" xfId="0" applyNumberFormat="1" applyFont="1" applyBorder="1"/>
    <xf numFmtId="2" fontId="8" fillId="0" borderId="7" xfId="0" applyNumberFormat="1" applyFont="1" applyBorder="1"/>
    <xf numFmtId="2" fontId="8" fillId="0" borderId="6" xfId="0" applyNumberFormat="1" applyFont="1" applyBorder="1"/>
    <xf numFmtId="2" fontId="0" fillId="0" borderId="0" xfId="0" applyNumberFormat="1"/>
    <xf numFmtId="2" fontId="8" fillId="0" borderId="10" xfId="0" applyNumberFormat="1" applyFont="1" applyBorder="1"/>
    <xf numFmtId="2" fontId="5" fillId="0" borderId="43" xfId="0" applyNumberFormat="1" applyFont="1" applyBorder="1"/>
    <xf numFmtId="2" fontId="5" fillId="0" borderId="6" xfId="0" applyNumberFormat="1" applyFont="1" applyBorder="1"/>
    <xf numFmtId="0" fontId="5" fillId="0" borderId="10" xfId="1" applyNumberFormat="1" applyFont="1" applyBorder="1" applyAlignment="1">
      <alignment horizontal="center"/>
    </xf>
    <xf numFmtId="0" fontId="5" fillId="0" borderId="9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15" fillId="3" borderId="31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16" fillId="7" borderId="0" xfId="0" applyFont="1" applyFill="1"/>
    <xf numFmtId="0" fontId="12" fillId="0" borderId="6" xfId="0" applyFont="1" applyBorder="1" applyAlignment="1">
      <alignment horizontal="center"/>
    </xf>
    <xf numFmtId="0" fontId="8" fillId="0" borderId="22" xfId="0" applyFont="1" applyBorder="1" applyAlignment="1">
      <alignment horizontal="right" vertical="center"/>
    </xf>
    <xf numFmtId="0" fontId="0" fillId="3" borderId="6" xfId="0" applyFill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6" fontId="12" fillId="2" borderId="17" xfId="0" applyNumberFormat="1" applyFont="1" applyFill="1" applyBorder="1" applyAlignment="1">
      <alignment horizontal="center"/>
    </xf>
    <xf numFmtId="0" fontId="30" fillId="0" borderId="0" xfId="0" applyFont="1"/>
    <xf numFmtId="0" fontId="28" fillId="0" borderId="0" xfId="0" applyFont="1"/>
    <xf numFmtId="0" fontId="14" fillId="0" borderId="0" xfId="2" applyFill="1" applyAlignment="1" applyProtection="1"/>
    <xf numFmtId="0" fontId="0" fillId="0" borderId="44" xfId="0" applyBorder="1"/>
    <xf numFmtId="0" fontId="19" fillId="0" borderId="44" xfId="0" applyFont="1" applyBorder="1" applyAlignment="1">
      <alignment horizontal="left" indent="2"/>
    </xf>
    <xf numFmtId="0" fontId="19" fillId="0" borderId="45" xfId="0" applyFont="1" applyBorder="1" applyAlignment="1">
      <alignment horizontal="left" indent="2"/>
    </xf>
    <xf numFmtId="0" fontId="28" fillId="0" borderId="46" xfId="0" applyFont="1" applyBorder="1"/>
    <xf numFmtId="0" fontId="19" fillId="0" borderId="47" xfId="0" applyFont="1" applyBorder="1" applyAlignment="1">
      <alignment horizontal="left" indent="2"/>
    </xf>
    <xf numFmtId="0" fontId="0" fillId="0" borderId="46" xfId="0" applyBorder="1"/>
    <xf numFmtId="167" fontId="3" fillId="0" borderId="0" xfId="3" applyNumberFormat="1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9" fillId="0" borderId="24" xfId="0" applyFont="1" applyBorder="1" applyAlignment="1">
      <alignment horizontal="left" indent="2"/>
    </xf>
    <xf numFmtId="0" fontId="0" fillId="0" borderId="45" xfId="0" applyBorder="1"/>
    <xf numFmtId="0" fontId="1" fillId="0" borderId="0" xfId="2" applyFont="1" applyAlignment="1" applyProtection="1">
      <alignment horizontal="center" vertical="top" wrapText="1"/>
    </xf>
    <xf numFmtId="0" fontId="19" fillId="0" borderId="0" xfId="0" applyFont="1" applyAlignment="1">
      <alignment horizontal="left"/>
    </xf>
    <xf numFmtId="166" fontId="0" fillId="3" borderId="6" xfId="0" applyNumberFormat="1" applyFill="1" applyBorder="1"/>
    <xf numFmtId="166" fontId="0" fillId="0" borderId="0" xfId="0" applyNumberFormat="1"/>
    <xf numFmtId="0" fontId="15" fillId="2" borderId="0" xfId="0" applyFont="1" applyFill="1" applyAlignment="1">
      <alignment horizontal="left" indent="1"/>
    </xf>
    <xf numFmtId="0" fontId="15" fillId="2" borderId="19" xfId="0" applyFont="1" applyFill="1" applyBorder="1" applyAlignment="1">
      <alignment horizontal="left" indent="1"/>
    </xf>
    <xf numFmtId="0" fontId="16" fillId="2" borderId="22" xfId="0" applyFont="1" applyFill="1" applyBorder="1"/>
    <xf numFmtId="0" fontId="16" fillId="2" borderId="24" xfId="0" applyFont="1" applyFill="1" applyBorder="1"/>
    <xf numFmtId="0" fontId="16" fillId="2" borderId="11" xfId="0" applyFont="1" applyFill="1" applyBorder="1"/>
    <xf numFmtId="0" fontId="18" fillId="0" borderId="19" xfId="0" applyFont="1" applyBorder="1"/>
    <xf numFmtId="0" fontId="18" fillId="0" borderId="22" xfId="0" applyFont="1" applyBorder="1"/>
    <xf numFmtId="0" fontId="16" fillId="0" borderId="22" xfId="0" applyFont="1" applyBorder="1"/>
    <xf numFmtId="0" fontId="16" fillId="0" borderId="19" xfId="0" applyFont="1" applyBorder="1"/>
    <xf numFmtId="0" fontId="16" fillId="0" borderId="23" xfId="0" applyFont="1" applyBorder="1"/>
    <xf numFmtId="0" fontId="16" fillId="0" borderId="24" xfId="0" applyFont="1" applyBorder="1"/>
    <xf numFmtId="0" fontId="16" fillId="0" borderId="11" xfId="0" applyFont="1" applyBorder="1"/>
    <xf numFmtId="0" fontId="31" fillId="0" borderId="0" xfId="0" applyFont="1" applyAlignment="1">
      <alignment horizontal="left" indent="2"/>
    </xf>
    <xf numFmtId="0" fontId="32" fillId="0" borderId="0" xfId="2" applyFont="1" applyBorder="1" applyAlignment="1" applyProtection="1"/>
    <xf numFmtId="0" fontId="29" fillId="0" borderId="0" xfId="0" applyFont="1" applyAlignment="1">
      <alignment horizontal="right"/>
    </xf>
    <xf numFmtId="0" fontId="14" fillId="0" borderId="0" xfId="2" applyBorder="1" applyAlignment="1" applyProtection="1">
      <alignment horizontal="center" vertical="center" wrapText="1"/>
    </xf>
    <xf numFmtId="0" fontId="14" fillId="0" borderId="49" xfId="2" applyBorder="1" applyAlignment="1" applyProtection="1">
      <alignment horizontal="left"/>
    </xf>
    <xf numFmtId="0" fontId="28" fillId="0" borderId="0" xfId="0" applyFont="1" applyAlignment="1">
      <alignment horizontal="left"/>
    </xf>
    <xf numFmtId="0" fontId="2" fillId="0" borderId="49" xfId="0" applyFont="1" applyBorder="1"/>
    <xf numFmtId="0" fontId="28" fillId="0" borderId="51" xfId="0" applyFont="1" applyBorder="1"/>
    <xf numFmtId="0" fontId="29" fillId="0" borderId="52" xfId="0" applyFont="1" applyBorder="1" applyAlignment="1">
      <alignment horizontal="left"/>
    </xf>
    <xf numFmtId="0" fontId="0" fillId="0" borderId="52" xfId="0" applyBorder="1"/>
    <xf numFmtId="0" fontId="0" fillId="0" borderId="53" xfId="0" applyBorder="1"/>
    <xf numFmtId="0" fontId="0" fillId="0" borderId="51" xfId="0" applyBorder="1"/>
    <xf numFmtId="0" fontId="19" fillId="0" borderId="53" xfId="0" applyFont="1" applyBorder="1" applyAlignment="1">
      <alignment horizontal="left" indent="2"/>
    </xf>
    <xf numFmtId="0" fontId="28" fillId="0" borderId="52" xfId="0" applyFont="1" applyBorder="1" applyAlignment="1">
      <alignment horizontal="left"/>
    </xf>
    <xf numFmtId="0" fontId="1" fillId="0" borderId="52" xfId="2" applyFont="1" applyBorder="1" applyAlignment="1" applyProtection="1">
      <alignment horizontal="center" vertical="top" wrapText="1"/>
    </xf>
    <xf numFmtId="0" fontId="19" fillId="0" borderId="52" xfId="0" applyFont="1" applyBorder="1" applyAlignment="1">
      <alignment horizontal="left" indent="2"/>
    </xf>
    <xf numFmtId="0" fontId="29" fillId="0" borderId="52" xfId="0" applyFont="1" applyBorder="1"/>
    <xf numFmtId="0" fontId="7" fillId="2" borderId="0" xfId="0" applyFont="1" applyFill="1"/>
    <xf numFmtId="0" fontId="27" fillId="0" borderId="54" xfId="0" applyFont="1" applyBorder="1"/>
    <xf numFmtId="0" fontId="16" fillId="3" borderId="0" xfId="0" applyFont="1" applyFill="1"/>
    <xf numFmtId="2" fontId="0" fillId="3" borderId="6" xfId="0" applyNumberFormat="1" applyFill="1" applyBorder="1"/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0" fillId="0" borderId="63" xfId="0" applyBorder="1"/>
    <xf numFmtId="0" fontId="0" fillId="0" borderId="64" xfId="0" applyBorder="1"/>
    <xf numFmtId="0" fontId="8" fillId="0" borderId="65" xfId="0" applyFont="1" applyBorder="1" applyAlignment="1">
      <alignment horizontal="right" vertical="center" textRotation="90"/>
    </xf>
    <xf numFmtId="0" fontId="8" fillId="0" borderId="66" xfId="0" applyFont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2" fillId="0" borderId="0" xfId="0" applyFont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8" fillId="0" borderId="63" xfId="0" applyFont="1" applyBorder="1" applyAlignment="1">
      <alignment horizontal="right" vertical="center" textRotation="90"/>
    </xf>
    <xf numFmtId="0" fontId="8" fillId="0" borderId="0" xfId="0" applyFont="1" applyAlignment="1">
      <alignment horizontal="right"/>
    </xf>
    <xf numFmtId="0" fontId="15" fillId="2" borderId="19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12" fillId="5" borderId="24" xfId="0" applyFont="1" applyFill="1" applyBorder="1"/>
    <xf numFmtId="0" fontId="16" fillId="5" borderId="24" xfId="0" applyFont="1" applyFill="1" applyBorder="1"/>
    <xf numFmtId="0" fontId="17" fillId="12" borderId="18" xfId="0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0" fontId="17" fillId="12" borderId="21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left" indent="1"/>
    </xf>
    <xf numFmtId="0" fontId="0" fillId="0" borderId="24" xfId="0" applyBorder="1" applyAlignment="1">
      <alignment horizontal="left" indent="1"/>
    </xf>
    <xf numFmtId="0" fontId="14" fillId="0" borderId="0" xfId="2" applyAlignment="1" applyProtection="1"/>
    <xf numFmtId="168" fontId="16" fillId="5" borderId="24" xfId="0" applyNumberFormat="1" applyFont="1" applyFill="1" applyBorder="1" applyAlignment="1">
      <alignment horizontal="left"/>
    </xf>
    <xf numFmtId="0" fontId="16" fillId="5" borderId="24" xfId="0" applyFont="1" applyFill="1" applyBorder="1" applyAlignment="1">
      <alignment horizontal="left"/>
    </xf>
    <xf numFmtId="0" fontId="12" fillId="5" borderId="24" xfId="0" applyFont="1" applyFill="1" applyBorder="1" applyAlignment="1">
      <alignment horizontal="left"/>
    </xf>
    <xf numFmtId="0" fontId="20" fillId="0" borderId="33" xfId="0" applyFont="1" applyBorder="1" applyAlignment="1">
      <alignment horizontal="center"/>
    </xf>
    <xf numFmtId="0" fontId="14" fillId="0" borderId="0" xfId="2" applyBorder="1" applyAlignment="1" applyProtection="1">
      <alignment horizontal="left"/>
    </xf>
    <xf numFmtId="0" fontId="3" fillId="0" borderId="16" xfId="0" applyFont="1" applyBorder="1" applyAlignment="1">
      <alignment horizontal="center"/>
    </xf>
    <xf numFmtId="0" fontId="14" fillId="0" borderId="44" xfId="2" applyBorder="1" applyAlignment="1" applyProtection="1">
      <alignment horizontal="left"/>
    </xf>
    <xf numFmtId="0" fontId="19" fillId="0" borderId="0" xfId="0" applyFont="1" applyAlignment="1">
      <alignment horizontal="center"/>
    </xf>
    <xf numFmtId="0" fontId="14" fillId="0" borderId="0" xfId="2" applyAlignment="1" applyProtection="1">
      <alignment horizontal="center" vertical="top" wrapText="1"/>
    </xf>
    <xf numFmtId="0" fontId="2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9" borderId="54" xfId="0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/>
    </xf>
    <xf numFmtId="0" fontId="0" fillId="0" borderId="55" xfId="0" applyBorder="1"/>
    <xf numFmtId="0" fontId="19" fillId="0" borderId="24" xfId="0" applyFont="1" applyBorder="1" applyAlignment="1">
      <alignment horizontal="center"/>
    </xf>
    <xf numFmtId="0" fontId="28" fillId="0" borderId="0" xfId="2" applyFont="1" applyAlignment="1" applyProtection="1">
      <alignment horizontal="center" vertical="top" wrapText="1"/>
    </xf>
    <xf numFmtId="0" fontId="6" fillId="8" borderId="56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8" borderId="57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2" fillId="10" borderId="17" xfId="0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11" borderId="17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14" fillId="0" borderId="4" xfId="2" applyBorder="1" applyAlignment="1" applyProtection="1">
      <alignment horizontal="left"/>
    </xf>
    <xf numFmtId="0" fontId="12" fillId="9" borderId="17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4" borderId="54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14" fillId="0" borderId="24" xfId="2" applyBorder="1" applyAlignment="1" applyProtection="1">
      <alignment horizontal="left"/>
    </xf>
    <xf numFmtId="0" fontId="14" fillId="0" borderId="24" xfId="2" applyBorder="1" applyAlignment="1" applyProtection="1"/>
    <xf numFmtId="0" fontId="14" fillId="0" borderId="49" xfId="2" applyBorder="1" applyAlignment="1" applyProtection="1">
      <alignment horizontal="left"/>
    </xf>
    <xf numFmtId="0" fontId="14" fillId="0" borderId="0" xfId="2" applyBorder="1" applyAlignment="1" applyProtection="1">
      <alignment horizontal="center" vertical="center" wrapText="1"/>
    </xf>
    <xf numFmtId="0" fontId="14" fillId="0" borderId="0" xfId="2" applyAlignment="1" applyProtection="1">
      <alignment horizontal="center" vertical="center" wrapText="1"/>
    </xf>
    <xf numFmtId="0" fontId="14" fillId="0" borderId="46" xfId="2" applyBorder="1" applyAlignment="1" applyProtection="1">
      <alignment horizontal="center" vertical="center" wrapText="1"/>
    </xf>
    <xf numFmtId="0" fontId="0" fillId="0" borderId="0" xfId="0"/>
    <xf numFmtId="0" fontId="0" fillId="0" borderId="46" xfId="0" applyBorder="1"/>
    <xf numFmtId="0" fontId="0" fillId="9" borderId="16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4" fillId="0" borderId="0" xfId="2" applyFill="1" applyAlignment="1" applyProtection="1">
      <alignment horizontal="center"/>
    </xf>
    <xf numFmtId="0" fontId="28" fillId="0" borderId="0" xfId="0" applyFont="1" applyAlignment="1">
      <alignment horizontal="left" vertical="top" wrapText="1"/>
    </xf>
    <xf numFmtId="0" fontId="6" fillId="8" borderId="18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4" fillId="0" borderId="0" xfId="2" applyAlignment="1" applyProtection="1">
      <alignment horizontal="left"/>
    </xf>
    <xf numFmtId="0" fontId="8" fillId="0" borderId="6" xfId="0" applyFont="1" applyBorder="1" applyAlignment="1">
      <alignment horizontal="center"/>
    </xf>
    <xf numFmtId="0" fontId="14" fillId="0" borderId="0" xfId="2" applyFill="1" applyAlignment="1" applyProtection="1">
      <alignment horizontal="left"/>
    </xf>
    <xf numFmtId="0" fontId="3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/>
    </xf>
    <xf numFmtId="0" fontId="29" fillId="0" borderId="64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8" fillId="0" borderId="6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59" xfId="0" applyFont="1" applyBorder="1" applyAlignment="1">
      <alignment horizontal="center" vertical="center" textRotation="90" wrapText="1"/>
    </xf>
    <xf numFmtId="0" fontId="0" fillId="0" borderId="59" xfId="0" applyBorder="1"/>
    <xf numFmtId="0" fontId="0" fillId="0" borderId="7" xfId="0" applyBorder="1"/>
    <xf numFmtId="0" fontId="39" fillId="13" borderId="34" xfId="0" applyFont="1" applyFill="1" applyBorder="1" applyAlignment="1">
      <alignment horizontal="center"/>
    </xf>
    <xf numFmtId="0" fontId="39" fillId="13" borderId="10" xfId="0" applyFont="1" applyFill="1" applyBorder="1" applyAlignment="1">
      <alignment horizontal="center"/>
    </xf>
    <xf numFmtId="0" fontId="16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9" fillId="13" borderId="71" xfId="0" applyFont="1" applyFill="1" applyBorder="1" applyAlignment="1">
      <alignment horizontal="center"/>
    </xf>
    <xf numFmtId="0" fontId="39" fillId="13" borderId="72" xfId="0" applyFont="1" applyFill="1" applyBorder="1" applyAlignment="1">
      <alignment horizontal="center"/>
    </xf>
    <xf numFmtId="0" fontId="39" fillId="13" borderId="73" xfId="0" applyFont="1" applyFill="1" applyBorder="1" applyAlignment="1">
      <alignment horizontal="center"/>
    </xf>
    <xf numFmtId="0" fontId="15" fillId="2" borderId="19" xfId="0" applyFont="1" applyFill="1" applyBorder="1"/>
    <xf numFmtId="0" fontId="7" fillId="0" borderId="70" xfId="0" applyFont="1" applyFill="1" applyBorder="1" applyAlignment="1"/>
    <xf numFmtId="0" fontId="1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7" fillId="0" borderId="71" xfId="0" applyFont="1" applyFill="1" applyBorder="1" applyAlignment="1">
      <alignment horizontal="center"/>
    </xf>
    <xf numFmtId="0" fontId="7" fillId="0" borderId="73" xfId="0" applyFont="1" applyFill="1" applyBorder="1" applyAlignment="1">
      <alignment horizontal="center"/>
    </xf>
    <xf numFmtId="0" fontId="0" fillId="0" borderId="0" xfId="0" applyBorder="1"/>
    <xf numFmtId="0" fontId="1" fillId="13" borderId="60" xfId="0" applyFont="1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0" fillId="13" borderId="62" xfId="0" applyFill="1" applyBorder="1" applyAlignment="1">
      <alignment horizontal="center" vertical="center"/>
    </xf>
    <xf numFmtId="0" fontId="0" fillId="13" borderId="67" xfId="0" applyFill="1" applyBorder="1" applyAlignment="1">
      <alignment horizontal="center" vertical="center"/>
    </xf>
    <xf numFmtId="0" fontId="0" fillId="13" borderId="68" xfId="0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0" fontId="39" fillId="13" borderId="0" xfId="0" applyFont="1" applyFill="1" applyAlignment="1">
      <alignment horizontal="center"/>
    </xf>
    <xf numFmtId="0" fontId="7" fillId="0" borderId="72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39" fillId="14" borderId="0" xfId="0" applyFont="1" applyFill="1" applyAlignment="1">
      <alignment horizontal="center"/>
    </xf>
    <xf numFmtId="0" fontId="1" fillId="13" borderId="71" xfId="0" applyFont="1" applyFill="1" applyBorder="1" applyAlignment="1">
      <alignment horizontal="center"/>
    </xf>
    <xf numFmtId="0" fontId="0" fillId="13" borderId="72" xfId="0" applyFill="1" applyBorder="1" applyAlignment="1">
      <alignment horizontal="center"/>
    </xf>
    <xf numFmtId="0" fontId="0" fillId="13" borderId="73" xfId="0" applyFill="1" applyBorder="1" applyAlignment="1">
      <alignment horizontal="center"/>
    </xf>
    <xf numFmtId="0" fontId="37" fillId="0" borderId="71" xfId="0" applyFont="1" applyFill="1" applyBorder="1" applyAlignment="1"/>
    <xf numFmtId="0" fontId="37" fillId="0" borderId="73" xfId="0" applyFont="1" applyFill="1" applyBorder="1" applyAlignment="1"/>
    <xf numFmtId="0" fontId="1" fillId="13" borderId="61" xfId="0" applyFont="1" applyFill="1" applyBorder="1" applyAlignment="1">
      <alignment horizontal="center"/>
    </xf>
    <xf numFmtId="0" fontId="0" fillId="13" borderId="61" xfId="0" applyFill="1" applyBorder="1" applyAlignment="1">
      <alignment horizontal="center"/>
    </xf>
    <xf numFmtId="0" fontId="40" fillId="13" borderId="71" xfId="0" applyFont="1" applyFill="1" applyBorder="1" applyAlignment="1">
      <alignment horizontal="center"/>
    </xf>
    <xf numFmtId="0" fontId="40" fillId="13" borderId="72" xfId="0" applyFont="1" applyFill="1" applyBorder="1" applyAlignment="1">
      <alignment horizontal="center"/>
    </xf>
    <xf numFmtId="0" fontId="40" fillId="13" borderId="73" xfId="0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43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31"/>
        </patternFill>
      </fill>
      <border>
        <left style="thin">
          <color indexed="62"/>
        </left>
        <right style="thin">
          <color indexed="62"/>
        </right>
        <top style="thin">
          <color indexed="62"/>
        </top>
        <bottom style="thin">
          <color indexed="62"/>
        </bottom>
      </border>
    </dxf>
    <dxf>
      <fill>
        <patternFill>
          <bgColor indexed="31"/>
        </patternFill>
      </fill>
      <border>
        <left style="thin">
          <color indexed="62"/>
        </left>
        <right style="thin">
          <color indexed="62"/>
        </right>
        <top style="thin">
          <color indexed="62"/>
        </top>
        <bottom style="thin">
          <color indexed="62"/>
        </bottom>
      </border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22/10/relationships/richValueRel" Target="richData/richValueRel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49694501018328E-2"/>
          <c:y val="9.4890680048685644E-2"/>
          <c:w val="0.73930753564154783"/>
          <c:h val="0.74087723268781491"/>
        </c:manualLayout>
      </c:layout>
      <c:lineChart>
        <c:grouping val="standard"/>
        <c:varyColors val="0"/>
        <c:ser>
          <c:idx val="0"/>
          <c:order val="0"/>
          <c:tx>
            <c:strRef>
              <c:f>bts!$D$1</c:f>
              <c:strCache>
                <c:ptCount val="1"/>
                <c:pt idx="0">
                  <c:v>Xbar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[0]!ANOME_Xbar</c:f>
              <c:numCache>
                <c:formatCode>General</c:formatCode>
                <c:ptCount val="3"/>
                <c:pt idx="0">
                  <c:v>205.45500000000001</c:v>
                </c:pt>
                <c:pt idx="1">
                  <c:v>205.45766666666665</c:v>
                </c:pt>
                <c:pt idx="2">
                  <c:v>205.476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8-4767-8F7E-492393C99AAA}"/>
            </c:ext>
          </c:extLst>
        </c:ser>
        <c:ser>
          <c:idx val="1"/>
          <c:order val="1"/>
          <c:tx>
            <c:strRef>
              <c:f>bts!$G$1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[0]!ANOME_LCL</c:f>
              <c:numCache>
                <c:formatCode>0.00</c:formatCode>
                <c:ptCount val="3"/>
                <c:pt idx="0">
                  <c:v>205.36151288888891</c:v>
                </c:pt>
                <c:pt idx="1">
                  <c:v>205.36151288888891</c:v>
                </c:pt>
                <c:pt idx="2">
                  <c:v>205.36151288888891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8-4767-8F7E-492393C99AAA}"/>
            </c:ext>
          </c:extLst>
        </c:ser>
        <c:ser>
          <c:idx val="2"/>
          <c:order val="2"/>
          <c:tx>
            <c:strRef>
              <c:f>bts!$H$1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[0]!ANOME_UCL</c:f>
              <c:numCache>
                <c:formatCode>0.00</c:formatCode>
                <c:ptCount val="3"/>
                <c:pt idx="0">
                  <c:v>205.56426488888889</c:v>
                </c:pt>
                <c:pt idx="1">
                  <c:v>205.56426488888889</c:v>
                </c:pt>
                <c:pt idx="2">
                  <c:v>205.56426488888889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8-4767-8F7E-492393C9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777040"/>
        <c:axId val="1"/>
      </c:lineChart>
      <c:catAx>
        <c:axId val="8527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2777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5193020369736383"/>
          <c:y val="0.34988687208143648"/>
          <c:w val="0.98236926566244431"/>
          <c:h val="0.58562630663722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3596178695414E-2"/>
          <c:y val="9.4545454545454544E-2"/>
          <c:w val="0.69918837967713832"/>
          <c:h val="0.74181818181818182"/>
        </c:manualLayout>
      </c:layout>
      <c:lineChart>
        <c:grouping val="standard"/>
        <c:varyColors val="0"/>
        <c:ser>
          <c:idx val="0"/>
          <c:order val="0"/>
          <c:tx>
            <c:strRef>
              <c:f>bts!$F$1</c:f>
              <c:strCache>
                <c:ptCount val="1"/>
                <c:pt idx="0">
                  <c:v>Rbarbar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[0]!ANOMR_Rbar</c:f>
              <c:numCache>
                <c:formatCode>General</c:formatCode>
                <c:ptCount val="3"/>
                <c:pt idx="0">
                  <c:v>0.58000000000000396</c:v>
                </c:pt>
                <c:pt idx="1">
                  <c:v>0.52000000000000457</c:v>
                </c:pt>
                <c:pt idx="2">
                  <c:v>0.48400000000000032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3-4AD0-BF2F-E8A5D1E3E40E}"/>
            </c:ext>
          </c:extLst>
        </c:ser>
        <c:ser>
          <c:idx val="1"/>
          <c:order val="1"/>
          <c:tx>
            <c:strRef>
              <c:f>bts!$G$1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[0]!ANOMR_LCL</c:f>
              <c:numCache>
                <c:formatCode>0.00</c:formatCode>
                <c:ptCount val="3"/>
                <c:pt idx="0">
                  <c:v>0.35323200000000204</c:v>
                </c:pt>
                <c:pt idx="1">
                  <c:v>0.35323200000000204</c:v>
                </c:pt>
                <c:pt idx="2">
                  <c:v>0.35323200000000204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3-4AD0-BF2F-E8A5D1E3E40E}"/>
            </c:ext>
          </c:extLst>
        </c:ser>
        <c:ser>
          <c:idx val="2"/>
          <c:order val="2"/>
          <c:tx>
            <c:strRef>
              <c:f>bts!$H$1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[0]!ANOMR_UCL</c:f>
              <c:numCache>
                <c:formatCode>0.00</c:formatCode>
                <c:ptCount val="3"/>
                <c:pt idx="0">
                  <c:v>0.69432000000000393</c:v>
                </c:pt>
                <c:pt idx="1">
                  <c:v>0.69432000000000393</c:v>
                </c:pt>
                <c:pt idx="2">
                  <c:v>0.69432000000000393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3-4AD0-BF2F-E8A5D1E3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780784"/>
        <c:axId val="1"/>
      </c:lineChart>
      <c:catAx>
        <c:axId val="8527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2780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1168021680216795"/>
          <c:y val="0.34815942451637988"/>
          <c:w val="0.98241768559417875"/>
          <c:h val="0.5827347137163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en-IN"/>
              <a:t>Appraiser Bias</a:t>
            </a:r>
          </a:p>
        </c:rich>
      </c:tx>
      <c:layout>
        <c:manualLayout>
          <c:xMode val="edge"/>
          <c:yMode val="edge"/>
          <c:x val="0.40682475889514641"/>
          <c:y val="3.00429283074309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2383468861236E-2"/>
          <c:y val="0.19096828382444794"/>
          <c:w val="0.87596380782824734"/>
          <c:h val="0.64142018994471073"/>
        </c:manualLayout>
      </c:layout>
      <c:lineChart>
        <c:grouping val="standard"/>
        <c:varyColors val="0"/>
        <c:ser>
          <c:idx val="0"/>
          <c:order val="0"/>
          <c:tx>
            <c:strRef>
              <c:f>bts!$D$1</c:f>
              <c:strCache>
                <c:ptCount val="1"/>
                <c:pt idx="0">
                  <c:v>Xbar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[0]!ANOME_Xbar</c:f>
              <c:numCache>
                <c:formatCode>General</c:formatCode>
                <c:ptCount val="3"/>
                <c:pt idx="0">
                  <c:v>205.45500000000001</c:v>
                </c:pt>
                <c:pt idx="1">
                  <c:v>205.45766666666665</c:v>
                </c:pt>
                <c:pt idx="2">
                  <c:v>205.476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6-4DAA-8D08-34AE908B8B43}"/>
            </c:ext>
          </c:extLst>
        </c:ser>
        <c:ser>
          <c:idx val="1"/>
          <c:order val="1"/>
          <c:tx>
            <c:strRef>
              <c:f>bts!$H$1</c:f>
              <c:strCache>
                <c:ptCount val="1"/>
                <c:pt idx="0">
                  <c:v>UCL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[0]!ANOME_UCL</c:f>
              <c:numCache>
                <c:formatCode>0.00</c:formatCode>
                <c:ptCount val="3"/>
                <c:pt idx="0">
                  <c:v>205.56426488888889</c:v>
                </c:pt>
                <c:pt idx="1">
                  <c:v>205.56426488888889</c:v>
                </c:pt>
                <c:pt idx="2">
                  <c:v>205.56426488888889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6-4DAA-8D08-34AE908B8B43}"/>
            </c:ext>
          </c:extLst>
        </c:ser>
        <c:ser>
          <c:idx val="2"/>
          <c:order val="2"/>
          <c:tx>
            <c:strRef>
              <c:f>bts!$G$1</c:f>
              <c:strCache>
                <c:ptCount val="1"/>
                <c:pt idx="0">
                  <c:v>LCL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[0]!ANOME_LCL</c:f>
              <c:numCache>
                <c:formatCode>0.00</c:formatCode>
                <c:ptCount val="3"/>
                <c:pt idx="0">
                  <c:v>205.36151288888891</c:v>
                </c:pt>
                <c:pt idx="1">
                  <c:v>205.36151288888891</c:v>
                </c:pt>
                <c:pt idx="2">
                  <c:v>205.36151288888891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6-4DAA-8D08-34AE908B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779952"/>
        <c:axId val="1"/>
      </c:lineChart>
      <c:catAx>
        <c:axId val="85277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Appraiser</a:t>
                </a:r>
              </a:p>
            </c:rich>
          </c:tx>
          <c:layout>
            <c:manualLayout>
              <c:xMode val="edge"/>
              <c:yMode val="edge"/>
              <c:x val="0.48162790850144566"/>
              <c:y val="0.90558022083974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Average</a:t>
                </a:r>
              </a:p>
            </c:rich>
          </c:tx>
          <c:layout>
            <c:manualLayout>
              <c:xMode val="edge"/>
              <c:yMode val="edge"/>
              <c:x val="2.6792633435391766E-3"/>
              <c:y val="0.4095463832327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2779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1240986841673935"/>
          <c:y val="0.73180207065953484"/>
          <c:w val="7.9935880204816193E-2"/>
          <c:h val="9.4755170909758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en-IN"/>
              <a:t>Appraiser Consistency</a:t>
            </a:r>
          </a:p>
        </c:rich>
      </c:tx>
      <c:layout>
        <c:manualLayout>
          <c:xMode val="edge"/>
          <c:yMode val="edge"/>
          <c:x val="0.35732989771627388"/>
          <c:y val="2.9978567089594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687368612173722E-2"/>
          <c:y val="0.19069036839075149"/>
          <c:w val="0.87876522799719115"/>
          <c:h val="0.64194238519329316"/>
        </c:manualLayout>
      </c:layout>
      <c:lineChart>
        <c:grouping val="standard"/>
        <c:varyColors val="0"/>
        <c:ser>
          <c:idx val="0"/>
          <c:order val="0"/>
          <c:tx>
            <c:strRef>
              <c:f>bts!$K$1</c:f>
              <c:strCache>
                <c:ptCount val="1"/>
                <c:pt idx="0">
                  <c:v>Rbar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[0]!ANOMR_Rbar</c:f>
              <c:numCache>
                <c:formatCode>General</c:formatCode>
                <c:ptCount val="3"/>
                <c:pt idx="0">
                  <c:v>0.58000000000000396</c:v>
                </c:pt>
                <c:pt idx="1">
                  <c:v>0.52000000000000457</c:v>
                </c:pt>
                <c:pt idx="2">
                  <c:v>0.48400000000000032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F-41B4-B1BB-61C5EB693DD3}"/>
            </c:ext>
          </c:extLst>
        </c:ser>
        <c:ser>
          <c:idx val="1"/>
          <c:order val="1"/>
          <c:tx>
            <c:strRef>
              <c:f>bts!$H$1</c:f>
              <c:strCache>
                <c:ptCount val="1"/>
                <c:pt idx="0">
                  <c:v>UCL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[0]!ANOMR_UCL</c:f>
              <c:numCache>
                <c:formatCode>0.00</c:formatCode>
                <c:ptCount val="3"/>
                <c:pt idx="0">
                  <c:v>0.69432000000000393</c:v>
                </c:pt>
                <c:pt idx="1">
                  <c:v>0.69432000000000393</c:v>
                </c:pt>
                <c:pt idx="2">
                  <c:v>0.69432000000000393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F-41B4-B1BB-61C5EB693DD3}"/>
            </c:ext>
          </c:extLst>
        </c:ser>
        <c:ser>
          <c:idx val="2"/>
          <c:order val="2"/>
          <c:tx>
            <c:strRef>
              <c:f>bts!$G$1</c:f>
              <c:strCache>
                <c:ptCount val="1"/>
                <c:pt idx="0">
                  <c:v>LCL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[0]!ANOME_Xvals</c:f>
              <c:strCache>
                <c:ptCount val="3"/>
                <c:pt idx="0">
                  <c:v>Ramu K</c:v>
                </c:pt>
                <c:pt idx="1">
                  <c:v>Tapan V</c:v>
                </c:pt>
                <c:pt idx="2">
                  <c:v>Montu R</c:v>
                </c:pt>
              </c:strCache>
            </c:strRef>
          </c:cat>
          <c:val>
            <c:numRef>
              <c:f>[0]!ANOMR_LCL</c:f>
              <c:numCache>
                <c:formatCode>0.00</c:formatCode>
                <c:ptCount val="3"/>
                <c:pt idx="0">
                  <c:v>0.35323200000000204</c:v>
                </c:pt>
                <c:pt idx="1">
                  <c:v>0.35323200000000204</c:v>
                </c:pt>
                <c:pt idx="2">
                  <c:v>0.35323200000000204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F-41B4-B1BB-61C5EB69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776624"/>
        <c:axId val="1"/>
      </c:lineChart>
      <c:catAx>
        <c:axId val="85277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Appraiser</a:t>
                </a:r>
              </a:p>
            </c:rich>
          </c:tx>
          <c:layout>
            <c:manualLayout>
              <c:xMode val="edge"/>
              <c:yMode val="edge"/>
              <c:x val="0.48298427812802475"/>
              <c:y val="0.9057816135428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Range</a:t>
                </a:r>
              </a:p>
            </c:rich>
          </c:tx>
          <c:layout>
            <c:manualLayout>
              <c:xMode val="edge"/>
              <c:yMode val="edge"/>
              <c:x val="2.0942396735291809E-2"/>
              <c:y val="0.441113594425151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2776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20968163863238"/>
          <c:y val="0.72345883620442641"/>
          <c:w val="7.9736704423574944E-2"/>
          <c:h val="9.46172448967896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r>
              <a:rPr lang="en-IN"/>
              <a:t>Range Chart</a:t>
            </a:r>
          </a:p>
        </c:rich>
      </c:tx>
      <c:layout>
        <c:manualLayout>
          <c:xMode val="edge"/>
          <c:yMode val="edge"/>
          <c:x val="0.42098325944551046"/>
          <c:y val="2.9962585886955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80171962338412E-2"/>
          <c:y val="0.12611881231307123"/>
          <c:w val="0.87565710977258215"/>
          <c:h val="0.71467326977407031"/>
        </c:manualLayout>
      </c:layout>
      <c:lineChart>
        <c:grouping val="standard"/>
        <c:varyColors val="0"/>
        <c:ser>
          <c:idx val="0"/>
          <c:order val="0"/>
          <c:tx>
            <c:strRef>
              <c:f>[0]!AppA</c:f>
              <c:strCache>
                <c:ptCount val="1"/>
                <c:pt idx="0">
                  <c:v>Ramu 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[0]!A_Range</c:f>
              <c:numCache>
                <c:formatCode>0.000</c:formatCode>
                <c:ptCount val="10"/>
                <c:pt idx="0">
                  <c:v>0.5700000000000216</c:v>
                </c:pt>
                <c:pt idx="1">
                  <c:v>0.30000000000001137</c:v>
                </c:pt>
                <c:pt idx="2">
                  <c:v>0.85000000000002274</c:v>
                </c:pt>
                <c:pt idx="3">
                  <c:v>0.56999999999999318</c:v>
                </c:pt>
                <c:pt idx="4">
                  <c:v>0.5</c:v>
                </c:pt>
                <c:pt idx="5">
                  <c:v>0.30000000000001137</c:v>
                </c:pt>
                <c:pt idx="6">
                  <c:v>0.53999999999999204</c:v>
                </c:pt>
                <c:pt idx="7">
                  <c:v>0.87999999999999545</c:v>
                </c:pt>
                <c:pt idx="8">
                  <c:v>0.81999999999999318</c:v>
                </c:pt>
                <c:pt idx="9">
                  <c:v>0.46999999999999886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1-4BC8-9788-193D6941BFB0}"/>
            </c:ext>
          </c:extLst>
        </c:ser>
        <c:ser>
          <c:idx val="1"/>
          <c:order val="1"/>
          <c:tx>
            <c:strRef>
              <c:f>[0]!AppB</c:f>
              <c:strCache>
                <c:ptCount val="1"/>
                <c:pt idx="0">
                  <c:v>Tapan V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[0]!B_Range</c:f>
              <c:numCache>
                <c:formatCode>General</c:formatCode>
                <c:ptCount val="21"/>
                <c:pt idx="11" formatCode="0.000">
                  <c:v>0.80000000000001137</c:v>
                </c:pt>
                <c:pt idx="12" formatCode="0.000">
                  <c:v>0.53000000000000114</c:v>
                </c:pt>
                <c:pt idx="13" formatCode="0.000">
                  <c:v>0.27000000000001023</c:v>
                </c:pt>
                <c:pt idx="14" formatCode="0.000">
                  <c:v>0.68999999999999773</c:v>
                </c:pt>
                <c:pt idx="15" formatCode="0.000">
                  <c:v>0.65000000000000568</c:v>
                </c:pt>
                <c:pt idx="16" formatCode="0.000">
                  <c:v>0.28999999999999204</c:v>
                </c:pt>
                <c:pt idx="17" formatCode="0.000">
                  <c:v>0.20000000000001705</c:v>
                </c:pt>
                <c:pt idx="18" formatCode="0.000">
                  <c:v>0.94999999999998863</c:v>
                </c:pt>
                <c:pt idx="19" formatCode="0.000">
                  <c:v>0.46000000000000796</c:v>
                </c:pt>
                <c:pt idx="20" formatCode="0.000">
                  <c:v>0.36000000000001364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1-4BC8-9788-193D6941BFB0}"/>
            </c:ext>
          </c:extLst>
        </c:ser>
        <c:ser>
          <c:idx val="2"/>
          <c:order val="2"/>
          <c:tx>
            <c:strRef>
              <c:f>[0]!AppC</c:f>
              <c:strCache>
                <c:ptCount val="1"/>
                <c:pt idx="0">
                  <c:v>Montu R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[0]!C_Range</c:f>
              <c:numCache>
                <c:formatCode>General</c:formatCode>
                <c:ptCount val="32"/>
                <c:pt idx="22" formatCode="0.000">
                  <c:v>0.57999999999998408</c:v>
                </c:pt>
                <c:pt idx="23" formatCode="0.000">
                  <c:v>0.78999999999999204</c:v>
                </c:pt>
                <c:pt idx="24" formatCode="0.000">
                  <c:v>0.26000000000001933</c:v>
                </c:pt>
                <c:pt idx="25" formatCode="0.000">
                  <c:v>0.35000000000002274</c:v>
                </c:pt>
                <c:pt idx="26" formatCode="0.000">
                  <c:v>0.25999999999999091</c:v>
                </c:pt>
                <c:pt idx="27" formatCode="0.000">
                  <c:v>0.11999999999997613</c:v>
                </c:pt>
                <c:pt idx="28" formatCode="0.000">
                  <c:v>0.59000000000000341</c:v>
                </c:pt>
                <c:pt idx="29" formatCode="0.000">
                  <c:v>0.59000000000000341</c:v>
                </c:pt>
                <c:pt idx="30" formatCode="0.000">
                  <c:v>0.68999999999999773</c:v>
                </c:pt>
                <c:pt idx="31" formatCode="0.000">
                  <c:v>0.61000000000001364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1-4BC8-9788-193D6941BFB0}"/>
            </c:ext>
          </c:extLst>
        </c:ser>
        <c:ser>
          <c:idx val="3"/>
          <c:order val="3"/>
          <c:tx>
            <c:v>UCL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([0]!A_RUCL,[0]!B_RUCL,[0]!C_RUCL)</c:f>
              <c:numCache>
                <c:formatCode>General</c:formatCode>
                <c:ptCount val="33"/>
                <c:pt idx="0">
                  <c:v>1.3596000000000079</c:v>
                </c:pt>
                <c:pt idx="1">
                  <c:v>1.3596000000000079</c:v>
                </c:pt>
                <c:pt idx="2">
                  <c:v>1.3596000000000079</c:v>
                </c:pt>
                <c:pt idx="3">
                  <c:v>1.3596000000000079</c:v>
                </c:pt>
                <c:pt idx="4">
                  <c:v>1.3596000000000079</c:v>
                </c:pt>
                <c:pt idx="5">
                  <c:v>1.3596000000000079</c:v>
                </c:pt>
                <c:pt idx="6">
                  <c:v>1.3596000000000079</c:v>
                </c:pt>
                <c:pt idx="7">
                  <c:v>1.3596000000000079</c:v>
                </c:pt>
                <c:pt idx="8">
                  <c:v>1.3596000000000079</c:v>
                </c:pt>
                <c:pt idx="9">
                  <c:v>1.3596000000000079</c:v>
                </c:pt>
                <c:pt idx="10">
                  <c:v>1.3596000000000079</c:v>
                </c:pt>
                <c:pt idx="11">
                  <c:v>1.3596000000000079</c:v>
                </c:pt>
                <c:pt idx="12">
                  <c:v>1.3596000000000079</c:v>
                </c:pt>
                <c:pt idx="13">
                  <c:v>1.3596000000000079</c:v>
                </c:pt>
                <c:pt idx="14">
                  <c:v>1.3596000000000079</c:v>
                </c:pt>
                <c:pt idx="15">
                  <c:v>1.3596000000000079</c:v>
                </c:pt>
                <c:pt idx="16">
                  <c:v>1.3596000000000079</c:v>
                </c:pt>
                <c:pt idx="17">
                  <c:v>1.3596000000000079</c:v>
                </c:pt>
                <c:pt idx="18">
                  <c:v>1.3596000000000079</c:v>
                </c:pt>
                <c:pt idx="19">
                  <c:v>1.3596000000000079</c:v>
                </c:pt>
                <c:pt idx="20">
                  <c:v>1.3596000000000079</c:v>
                </c:pt>
                <c:pt idx="21">
                  <c:v>1.3596000000000079</c:v>
                </c:pt>
                <c:pt idx="22">
                  <c:v>1.3596000000000079</c:v>
                </c:pt>
                <c:pt idx="23">
                  <c:v>1.3596000000000079</c:v>
                </c:pt>
                <c:pt idx="24">
                  <c:v>1.3596000000000079</c:v>
                </c:pt>
                <c:pt idx="25">
                  <c:v>1.3596000000000079</c:v>
                </c:pt>
                <c:pt idx="26">
                  <c:v>1.3596000000000079</c:v>
                </c:pt>
                <c:pt idx="27">
                  <c:v>1.3596000000000079</c:v>
                </c:pt>
                <c:pt idx="28">
                  <c:v>1.3596000000000079</c:v>
                </c:pt>
                <c:pt idx="29">
                  <c:v>1.3596000000000079</c:v>
                </c:pt>
                <c:pt idx="30">
                  <c:v>1.3596000000000079</c:v>
                </c:pt>
                <c:pt idx="31">
                  <c:v>1.3596000000000079</c:v>
                </c:pt>
                <c:pt idx="32">
                  <c:v>1.3596000000000079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91-4BC8-9788-193D6941BFB0}"/>
            </c:ext>
          </c:extLst>
        </c:ser>
        <c:ser>
          <c:idx val="4"/>
          <c:order val="4"/>
          <c:tx>
            <c:v>Mean</c:v>
          </c:tx>
          <c:spPr>
            <a:ln w="25400">
              <a:solidFill>
                <a:srgbClr val="800080"/>
              </a:solidFill>
              <a:prstDash val="sysDash"/>
            </a:ln>
          </c:spPr>
          <c:marker>
            <c:symbol val="dot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([0]!A_Rbar,[0]!B_Rbar,[0]!C_Rbar)</c:f>
              <c:numCache>
                <c:formatCode>0.0000</c:formatCode>
                <c:ptCount val="33"/>
                <c:pt idx="0">
                  <c:v>0.52800000000000302</c:v>
                </c:pt>
                <c:pt idx="1">
                  <c:v>0.52800000000000302</c:v>
                </c:pt>
                <c:pt idx="2">
                  <c:v>0.52800000000000302</c:v>
                </c:pt>
                <c:pt idx="3">
                  <c:v>0.52800000000000302</c:v>
                </c:pt>
                <c:pt idx="4">
                  <c:v>0.52800000000000302</c:v>
                </c:pt>
                <c:pt idx="5">
                  <c:v>0.52800000000000302</c:v>
                </c:pt>
                <c:pt idx="6">
                  <c:v>0.52800000000000302</c:v>
                </c:pt>
                <c:pt idx="7">
                  <c:v>0.52800000000000302</c:v>
                </c:pt>
                <c:pt idx="8">
                  <c:v>0.52800000000000302</c:v>
                </c:pt>
                <c:pt idx="9">
                  <c:v>0.52800000000000302</c:v>
                </c:pt>
                <c:pt idx="10">
                  <c:v>0.52800000000000302</c:v>
                </c:pt>
                <c:pt idx="11">
                  <c:v>0.52800000000000302</c:v>
                </c:pt>
                <c:pt idx="12">
                  <c:v>0.52800000000000302</c:v>
                </c:pt>
                <c:pt idx="13">
                  <c:v>0.52800000000000302</c:v>
                </c:pt>
                <c:pt idx="14">
                  <c:v>0.52800000000000302</c:v>
                </c:pt>
                <c:pt idx="15">
                  <c:v>0.52800000000000302</c:v>
                </c:pt>
                <c:pt idx="16">
                  <c:v>0.52800000000000302</c:v>
                </c:pt>
                <c:pt idx="17">
                  <c:v>0.52800000000000302</c:v>
                </c:pt>
                <c:pt idx="18">
                  <c:v>0.52800000000000302</c:v>
                </c:pt>
                <c:pt idx="19">
                  <c:v>0.52800000000000302</c:v>
                </c:pt>
                <c:pt idx="20">
                  <c:v>0.52800000000000302</c:v>
                </c:pt>
                <c:pt idx="21">
                  <c:v>0.52800000000000302</c:v>
                </c:pt>
                <c:pt idx="22">
                  <c:v>0.52800000000000302</c:v>
                </c:pt>
                <c:pt idx="23">
                  <c:v>0.52800000000000302</c:v>
                </c:pt>
                <c:pt idx="24">
                  <c:v>0.52800000000000302</c:v>
                </c:pt>
                <c:pt idx="25">
                  <c:v>0.52800000000000302</c:v>
                </c:pt>
                <c:pt idx="26">
                  <c:v>0.52800000000000302</c:v>
                </c:pt>
                <c:pt idx="27">
                  <c:v>0.52800000000000302</c:v>
                </c:pt>
                <c:pt idx="28">
                  <c:v>0.52800000000000302</c:v>
                </c:pt>
                <c:pt idx="29">
                  <c:v>0.52800000000000302</c:v>
                </c:pt>
                <c:pt idx="30">
                  <c:v>0.52800000000000302</c:v>
                </c:pt>
                <c:pt idx="31">
                  <c:v>0.52800000000000302</c:v>
                </c:pt>
                <c:pt idx="32">
                  <c:v>0.52800000000000302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91-4BC8-9788-193D6941B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781200"/>
        <c:axId val="1"/>
      </c:lineChart>
      <c:catAx>
        <c:axId val="85278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Trial Number</a:t>
                </a:r>
              </a:p>
            </c:rich>
          </c:tx>
          <c:layout>
            <c:manualLayout>
              <c:xMode val="edge"/>
              <c:yMode val="edge"/>
              <c:x val="0.46348005028783168"/>
              <c:y val="0.898877977832388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Range</a:t>
                </a:r>
              </a:p>
            </c:rich>
          </c:tx>
          <c:layout>
            <c:manualLayout>
              <c:xMode val="edge"/>
              <c:yMode val="edge"/>
              <c:x val="7.9681069278104942E-3"/>
              <c:y val="0.4194764030292391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27812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211169192086283"/>
          <c:y val="0.94270625407492858"/>
          <c:w val="0.36975928008998876"/>
          <c:h val="4.20396208435729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333399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r>
              <a:rPr lang="en-IN"/>
              <a:t>Averages Chart</a:t>
            </a:r>
          </a:p>
        </c:rich>
      </c:tx>
      <c:layout>
        <c:manualLayout>
          <c:xMode val="edge"/>
          <c:yMode val="edge"/>
          <c:x val="0.40105535711914592"/>
          <c:y val="2.9821025750159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7004549013327"/>
          <c:y val="0.11486844142906721"/>
          <c:w val="0.86764980991268148"/>
          <c:h val="0.71083294343163939"/>
        </c:manualLayout>
      </c:layout>
      <c:lineChart>
        <c:grouping val="standard"/>
        <c:varyColors val="0"/>
        <c:ser>
          <c:idx val="0"/>
          <c:order val="0"/>
          <c:tx>
            <c:strRef>
              <c:f>[0]!AppA</c:f>
              <c:strCache>
                <c:ptCount val="1"/>
                <c:pt idx="0">
                  <c:v>Ramu 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[0]!A_Ave</c:f>
              <c:numCache>
                <c:formatCode>0.000</c:formatCode>
                <c:ptCount val="10"/>
                <c:pt idx="0">
                  <c:v>205.33666666666667</c:v>
                </c:pt>
                <c:pt idx="1">
                  <c:v>205.39000000000001</c:v>
                </c:pt>
                <c:pt idx="2">
                  <c:v>205.64</c:v>
                </c:pt>
                <c:pt idx="3">
                  <c:v>205.23333333333335</c:v>
                </c:pt>
                <c:pt idx="4">
                  <c:v>205.65</c:v>
                </c:pt>
                <c:pt idx="5">
                  <c:v>205.38666666666666</c:v>
                </c:pt>
                <c:pt idx="6">
                  <c:v>205.36666666666665</c:v>
                </c:pt>
                <c:pt idx="7">
                  <c:v>205.51666666666665</c:v>
                </c:pt>
                <c:pt idx="8">
                  <c:v>205.65333333333334</c:v>
                </c:pt>
                <c:pt idx="9">
                  <c:v>205.37666666666667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2-4263-9691-8D9A96F1BA21}"/>
            </c:ext>
          </c:extLst>
        </c:ser>
        <c:ser>
          <c:idx val="1"/>
          <c:order val="1"/>
          <c:tx>
            <c:strRef>
              <c:f>[0]!AppB</c:f>
              <c:strCache>
                <c:ptCount val="1"/>
                <c:pt idx="0">
                  <c:v>Tapan V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[0]!B_Ave</c:f>
              <c:numCache>
                <c:formatCode>General</c:formatCode>
                <c:ptCount val="21"/>
                <c:pt idx="11" formatCode="0.000">
                  <c:v>205.62333333333333</c:v>
                </c:pt>
                <c:pt idx="12" formatCode="0.000">
                  <c:v>205.58666666666667</c:v>
                </c:pt>
                <c:pt idx="13" formatCode="0.000">
                  <c:v>205.13333333333333</c:v>
                </c:pt>
                <c:pt idx="14" formatCode="0.000">
                  <c:v>205.33333333333334</c:v>
                </c:pt>
                <c:pt idx="15" formatCode="0.000">
                  <c:v>205.69000000000003</c:v>
                </c:pt>
                <c:pt idx="16" formatCode="0.000">
                  <c:v>205.38333333333333</c:v>
                </c:pt>
                <c:pt idx="17" formatCode="0.000">
                  <c:v>205.70000000000002</c:v>
                </c:pt>
                <c:pt idx="18" formatCode="0.000">
                  <c:v>205.46</c:v>
                </c:pt>
                <c:pt idx="19" formatCode="0.000">
                  <c:v>205.49</c:v>
                </c:pt>
                <c:pt idx="20" formatCode="0.000">
                  <c:v>205.17666666666665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2-4263-9691-8D9A96F1BA21}"/>
            </c:ext>
          </c:extLst>
        </c:ser>
        <c:ser>
          <c:idx val="2"/>
          <c:order val="2"/>
          <c:tx>
            <c:strRef>
              <c:f>[0]!AppC</c:f>
              <c:strCache>
                <c:ptCount val="1"/>
                <c:pt idx="0">
                  <c:v>Montu R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[0]!C_Ave</c:f>
              <c:numCache>
                <c:formatCode>General</c:formatCode>
                <c:ptCount val="32"/>
                <c:pt idx="22" formatCode="0.000">
                  <c:v>205.45666666666668</c:v>
                </c:pt>
                <c:pt idx="23" formatCode="0.000">
                  <c:v>205.51999999999998</c:v>
                </c:pt>
                <c:pt idx="24" formatCode="0.000">
                  <c:v>205.42</c:v>
                </c:pt>
                <c:pt idx="25" formatCode="0.000">
                  <c:v>205.27666666666664</c:v>
                </c:pt>
                <c:pt idx="26" formatCode="0.000">
                  <c:v>205.36666666666667</c:v>
                </c:pt>
                <c:pt idx="27" formatCode="0.000">
                  <c:v>205.92333333333332</c:v>
                </c:pt>
                <c:pt idx="28" formatCode="0.000">
                  <c:v>205.36333333333334</c:v>
                </c:pt>
                <c:pt idx="29" formatCode="0.000">
                  <c:v>205.5</c:v>
                </c:pt>
                <c:pt idx="30" formatCode="0.000">
                  <c:v>205.39999999999998</c:v>
                </c:pt>
                <c:pt idx="31" formatCode="0.000">
                  <c:v>205.53333333333333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2-4263-9691-8D9A96F1BA21}"/>
            </c:ext>
          </c:extLst>
        </c:ser>
        <c:ser>
          <c:idx val="3"/>
          <c:order val="3"/>
          <c:tx>
            <c:v>UCL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([0]!A_AUCL,[0]!B_AUCL,[0]!C_AUCL)</c:f>
              <c:numCache>
                <c:formatCode>0.000</c:formatCode>
                <c:ptCount val="33"/>
                <c:pt idx="0">
                  <c:v>206.0030328888889</c:v>
                </c:pt>
                <c:pt idx="1">
                  <c:v>206.0030328888889</c:v>
                </c:pt>
                <c:pt idx="2">
                  <c:v>206.0030328888889</c:v>
                </c:pt>
                <c:pt idx="3">
                  <c:v>206.0030328888889</c:v>
                </c:pt>
                <c:pt idx="4">
                  <c:v>206.0030328888889</c:v>
                </c:pt>
                <c:pt idx="5">
                  <c:v>206.0030328888889</c:v>
                </c:pt>
                <c:pt idx="6">
                  <c:v>206.0030328888889</c:v>
                </c:pt>
                <c:pt idx="7">
                  <c:v>206.0030328888889</c:v>
                </c:pt>
                <c:pt idx="8">
                  <c:v>206.0030328888889</c:v>
                </c:pt>
                <c:pt idx="9">
                  <c:v>206.0030328888889</c:v>
                </c:pt>
                <c:pt idx="10">
                  <c:v>206.0030328888889</c:v>
                </c:pt>
                <c:pt idx="11">
                  <c:v>206.0030328888889</c:v>
                </c:pt>
                <c:pt idx="12">
                  <c:v>206.0030328888889</c:v>
                </c:pt>
                <c:pt idx="13">
                  <c:v>206.0030328888889</c:v>
                </c:pt>
                <c:pt idx="14">
                  <c:v>206.0030328888889</c:v>
                </c:pt>
                <c:pt idx="15">
                  <c:v>206.0030328888889</c:v>
                </c:pt>
                <c:pt idx="16">
                  <c:v>206.0030328888889</c:v>
                </c:pt>
                <c:pt idx="17">
                  <c:v>206.0030328888889</c:v>
                </c:pt>
                <c:pt idx="18">
                  <c:v>206.0030328888889</c:v>
                </c:pt>
                <c:pt idx="19">
                  <c:v>206.0030328888889</c:v>
                </c:pt>
                <c:pt idx="20">
                  <c:v>206.0030328888889</c:v>
                </c:pt>
                <c:pt idx="21">
                  <c:v>206.0030328888889</c:v>
                </c:pt>
                <c:pt idx="22">
                  <c:v>206.0030328888889</c:v>
                </c:pt>
                <c:pt idx="23">
                  <c:v>206.0030328888889</c:v>
                </c:pt>
                <c:pt idx="24">
                  <c:v>206.0030328888889</c:v>
                </c:pt>
                <c:pt idx="25">
                  <c:v>206.0030328888889</c:v>
                </c:pt>
                <c:pt idx="26">
                  <c:v>206.0030328888889</c:v>
                </c:pt>
                <c:pt idx="27">
                  <c:v>206.0030328888889</c:v>
                </c:pt>
                <c:pt idx="28">
                  <c:v>206.0030328888889</c:v>
                </c:pt>
                <c:pt idx="29">
                  <c:v>206.0030328888889</c:v>
                </c:pt>
                <c:pt idx="30">
                  <c:v>206.0030328888889</c:v>
                </c:pt>
                <c:pt idx="31">
                  <c:v>206.0030328888889</c:v>
                </c:pt>
                <c:pt idx="32">
                  <c:v>206.0030328888889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12-4263-9691-8D9A96F1BA21}"/>
            </c:ext>
          </c:extLst>
        </c:ser>
        <c:ser>
          <c:idx val="4"/>
          <c:order val="4"/>
          <c:tx>
            <c:v>Mean</c:v>
          </c:tx>
          <c:spPr>
            <a:ln w="25400">
              <a:solidFill>
                <a:srgbClr val="800080"/>
              </a:solidFill>
              <a:prstDash val="sysDash"/>
            </a:ln>
          </c:spPr>
          <c:marker>
            <c:symbol val="dot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([0]!A_Xbar,[0]!B_Xbar,[0]!C_Xbar)</c:f>
              <c:numCache>
                <c:formatCode>0.000</c:formatCode>
                <c:ptCount val="33"/>
                <c:pt idx="0">
                  <c:v>205.4628888888889</c:v>
                </c:pt>
                <c:pt idx="1">
                  <c:v>205.4628888888889</c:v>
                </c:pt>
                <c:pt idx="2">
                  <c:v>205.4628888888889</c:v>
                </c:pt>
                <c:pt idx="3">
                  <c:v>205.4628888888889</c:v>
                </c:pt>
                <c:pt idx="4">
                  <c:v>205.4628888888889</c:v>
                </c:pt>
                <c:pt idx="5">
                  <c:v>205.4628888888889</c:v>
                </c:pt>
                <c:pt idx="6">
                  <c:v>205.4628888888889</c:v>
                </c:pt>
                <c:pt idx="7">
                  <c:v>205.4628888888889</c:v>
                </c:pt>
                <c:pt idx="8">
                  <c:v>205.4628888888889</c:v>
                </c:pt>
                <c:pt idx="9">
                  <c:v>205.4628888888889</c:v>
                </c:pt>
                <c:pt idx="10">
                  <c:v>205.4628888888889</c:v>
                </c:pt>
                <c:pt idx="11">
                  <c:v>205.4628888888889</c:v>
                </c:pt>
                <c:pt idx="12">
                  <c:v>205.4628888888889</c:v>
                </c:pt>
                <c:pt idx="13">
                  <c:v>205.4628888888889</c:v>
                </c:pt>
                <c:pt idx="14">
                  <c:v>205.4628888888889</c:v>
                </c:pt>
                <c:pt idx="15">
                  <c:v>205.4628888888889</c:v>
                </c:pt>
                <c:pt idx="16">
                  <c:v>205.4628888888889</c:v>
                </c:pt>
                <c:pt idx="17">
                  <c:v>205.4628888888889</c:v>
                </c:pt>
                <c:pt idx="18">
                  <c:v>205.4628888888889</c:v>
                </c:pt>
                <c:pt idx="19">
                  <c:v>205.4628888888889</c:v>
                </c:pt>
                <c:pt idx="20">
                  <c:v>205.4628888888889</c:v>
                </c:pt>
                <c:pt idx="21">
                  <c:v>205.4628888888889</c:v>
                </c:pt>
                <c:pt idx="22">
                  <c:v>205.4628888888889</c:v>
                </c:pt>
                <c:pt idx="23">
                  <c:v>205.4628888888889</c:v>
                </c:pt>
                <c:pt idx="24">
                  <c:v>205.4628888888889</c:v>
                </c:pt>
                <c:pt idx="25">
                  <c:v>205.4628888888889</c:v>
                </c:pt>
                <c:pt idx="26">
                  <c:v>205.4628888888889</c:v>
                </c:pt>
                <c:pt idx="27">
                  <c:v>205.4628888888889</c:v>
                </c:pt>
                <c:pt idx="28">
                  <c:v>205.4628888888889</c:v>
                </c:pt>
                <c:pt idx="29">
                  <c:v>205.4628888888889</c:v>
                </c:pt>
                <c:pt idx="30">
                  <c:v>205.4628888888889</c:v>
                </c:pt>
                <c:pt idx="31">
                  <c:v>205.4628888888889</c:v>
                </c:pt>
                <c:pt idx="32">
                  <c:v>205.4628888888889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12-4263-9691-8D9A96F1BA21}"/>
            </c:ext>
          </c:extLst>
        </c:ser>
        <c:ser>
          <c:idx val="5"/>
          <c:order val="5"/>
          <c:tx>
            <c:v>LCL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([0]!Ax,[0]!Bx,[0]!Cx)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([0]!A_ALCL,[0]!B_ALCL,[0]!C_ALCL)</c:f>
              <c:numCache>
                <c:formatCode>0.000</c:formatCode>
                <c:ptCount val="33"/>
                <c:pt idx="0">
                  <c:v>204.9227448888889</c:v>
                </c:pt>
                <c:pt idx="1">
                  <c:v>204.9227448888889</c:v>
                </c:pt>
                <c:pt idx="2">
                  <c:v>204.9227448888889</c:v>
                </c:pt>
                <c:pt idx="3">
                  <c:v>204.9227448888889</c:v>
                </c:pt>
                <c:pt idx="4">
                  <c:v>204.9227448888889</c:v>
                </c:pt>
                <c:pt idx="5">
                  <c:v>204.9227448888889</c:v>
                </c:pt>
                <c:pt idx="6">
                  <c:v>204.9227448888889</c:v>
                </c:pt>
                <c:pt idx="7">
                  <c:v>204.9227448888889</c:v>
                </c:pt>
                <c:pt idx="8">
                  <c:v>204.9227448888889</c:v>
                </c:pt>
                <c:pt idx="9">
                  <c:v>204.9227448888889</c:v>
                </c:pt>
                <c:pt idx="10">
                  <c:v>204.9227448888889</c:v>
                </c:pt>
                <c:pt idx="11">
                  <c:v>204.9227448888889</c:v>
                </c:pt>
                <c:pt idx="12">
                  <c:v>204.9227448888889</c:v>
                </c:pt>
                <c:pt idx="13">
                  <c:v>204.9227448888889</c:v>
                </c:pt>
                <c:pt idx="14">
                  <c:v>204.9227448888889</c:v>
                </c:pt>
                <c:pt idx="15">
                  <c:v>204.9227448888889</c:v>
                </c:pt>
                <c:pt idx="16">
                  <c:v>204.9227448888889</c:v>
                </c:pt>
                <c:pt idx="17">
                  <c:v>204.9227448888889</c:v>
                </c:pt>
                <c:pt idx="18">
                  <c:v>204.9227448888889</c:v>
                </c:pt>
                <c:pt idx="19">
                  <c:v>204.9227448888889</c:v>
                </c:pt>
                <c:pt idx="20">
                  <c:v>204.9227448888889</c:v>
                </c:pt>
                <c:pt idx="21">
                  <c:v>204.9227448888889</c:v>
                </c:pt>
                <c:pt idx="22">
                  <c:v>204.9227448888889</c:v>
                </c:pt>
                <c:pt idx="23">
                  <c:v>204.9227448888889</c:v>
                </c:pt>
                <c:pt idx="24">
                  <c:v>204.9227448888889</c:v>
                </c:pt>
                <c:pt idx="25">
                  <c:v>204.9227448888889</c:v>
                </c:pt>
                <c:pt idx="26">
                  <c:v>204.9227448888889</c:v>
                </c:pt>
                <c:pt idx="27">
                  <c:v>204.9227448888889</c:v>
                </c:pt>
                <c:pt idx="28">
                  <c:v>204.9227448888889</c:v>
                </c:pt>
                <c:pt idx="29">
                  <c:v>204.9227448888889</c:v>
                </c:pt>
                <c:pt idx="30">
                  <c:v>204.9227448888889</c:v>
                </c:pt>
                <c:pt idx="31">
                  <c:v>204.9227448888889</c:v>
                </c:pt>
                <c:pt idx="32">
                  <c:v>204.9227448888889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12-4263-9691-8D9A96F1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777872"/>
        <c:axId val="1"/>
      </c:lineChart>
      <c:catAx>
        <c:axId val="85277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Trial Number</a:t>
                </a:r>
              </a:p>
            </c:rich>
          </c:tx>
          <c:layout>
            <c:manualLayout>
              <c:xMode val="edge"/>
              <c:yMode val="edge"/>
              <c:x val="0.4683376930328903"/>
              <c:y val="0.88866801447116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Average</a:t>
                </a:r>
              </a:p>
            </c:rich>
          </c:tx>
          <c:layout>
            <c:manualLayout>
              <c:xMode val="edge"/>
              <c:yMode val="edge"/>
              <c:x val="9.2347731407098569E-3"/>
              <c:y val="0.393638220898063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27778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704213195947473"/>
          <c:y val="0.93921834432858053"/>
          <c:w val="0.45363997291232361"/>
          <c:h val="4.45960842732496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333399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603250</xdr:colOff>
      <xdr:row>22</xdr:row>
      <xdr:rowOff>139700</xdr:rowOff>
    </xdr:from>
    <xdr:to>
      <xdr:col>17</xdr:col>
      <xdr:colOff>400050</xdr:colOff>
      <xdr:row>39</xdr:row>
      <xdr:rowOff>0</xdr:rowOff>
    </xdr:to>
    <xdr:graphicFrame macro="">
      <xdr:nvGraphicFramePr>
        <xdr:cNvPr id="5159" name="Chart 1">
          <a:extLst>
            <a:ext uri="{FF2B5EF4-FFF2-40B4-BE49-F238E27FC236}">
              <a16:creationId xmlns:a16="http://schemas.microsoft.com/office/drawing/2014/main" id="{D70F6411-E89D-23EA-BC18-C797C8CE4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590550</xdr:colOff>
      <xdr:row>6</xdr:row>
      <xdr:rowOff>6350</xdr:rowOff>
    </xdr:from>
    <xdr:to>
      <xdr:col>17</xdr:col>
      <xdr:colOff>400050</xdr:colOff>
      <xdr:row>22</xdr:row>
      <xdr:rowOff>38100</xdr:rowOff>
    </xdr:to>
    <xdr:graphicFrame macro="">
      <xdr:nvGraphicFramePr>
        <xdr:cNvPr id="5160" name="Chart 2">
          <a:extLst>
            <a:ext uri="{FF2B5EF4-FFF2-40B4-BE49-F238E27FC236}">
              <a16:creationId xmlns:a16="http://schemas.microsoft.com/office/drawing/2014/main" id="{86E000FA-28F2-1D66-8F99-3AE13D5DD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127000</xdr:rowOff>
    </xdr:from>
    <xdr:to>
      <xdr:col>9</xdr:col>
      <xdr:colOff>158750</xdr:colOff>
      <xdr:row>4</xdr:row>
      <xdr:rowOff>50800</xdr:rowOff>
    </xdr:to>
    <xdr:sp macro="" textlink="">
      <xdr:nvSpPr>
        <xdr:cNvPr id="3100" name="AutoShape 5">
          <a:extLst>
            <a:ext uri="{FF2B5EF4-FFF2-40B4-BE49-F238E27FC236}">
              <a16:creationId xmlns:a16="http://schemas.microsoft.com/office/drawing/2014/main" id="{BEBB188C-4A9F-0156-EAC4-7CFDD777739B}"/>
            </a:ext>
          </a:extLst>
        </xdr:cNvPr>
        <xdr:cNvSpPr>
          <a:spLocks noChangeArrowheads="1"/>
        </xdr:cNvSpPr>
      </xdr:nvSpPr>
      <xdr:spPr bwMode="auto">
        <a:xfrm rot="5400000">
          <a:off x="3295650" y="311150"/>
          <a:ext cx="247650" cy="654050"/>
        </a:xfrm>
        <a:prstGeom prst="upArrow">
          <a:avLst>
            <a:gd name="adj1" fmla="val 46935"/>
            <a:gd name="adj2" fmla="val 140855"/>
          </a:avLst>
        </a:prstGeom>
        <a:solidFill>
          <a:schemeClr val="accent2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6350</xdr:rowOff>
    </xdr:from>
    <xdr:to>
      <xdr:col>15</xdr:col>
      <xdr:colOff>590550</xdr:colOff>
      <xdr:row>31</xdr:row>
      <xdr:rowOff>76200</xdr:rowOff>
    </xdr:to>
    <xdr:graphicFrame macro="">
      <xdr:nvGraphicFramePr>
        <xdr:cNvPr id="6183" name="Chart 1">
          <a:extLst>
            <a:ext uri="{FF2B5EF4-FFF2-40B4-BE49-F238E27FC236}">
              <a16:creationId xmlns:a16="http://schemas.microsoft.com/office/drawing/2014/main" id="{FF70A911-D59B-9BB5-0184-2015E9D94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15</xdr:col>
      <xdr:colOff>577850</xdr:colOff>
      <xdr:row>60</xdr:row>
      <xdr:rowOff>76200</xdr:rowOff>
    </xdr:to>
    <xdr:graphicFrame macro="">
      <xdr:nvGraphicFramePr>
        <xdr:cNvPr id="6184" name="Chart 2">
          <a:extLst>
            <a:ext uri="{FF2B5EF4-FFF2-40B4-BE49-F238E27FC236}">
              <a16:creationId xmlns:a16="http://schemas.microsoft.com/office/drawing/2014/main" id="{18471E4B-530A-EC39-AC26-C4EF2F27B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133350</xdr:rowOff>
    </xdr:from>
    <xdr:to>
      <xdr:col>12</xdr:col>
      <xdr:colOff>12700</xdr:colOff>
      <xdr:row>65</xdr:row>
      <xdr:rowOff>38100</xdr:rowOff>
    </xdr:to>
    <xdr:graphicFrame macro="">
      <xdr:nvGraphicFramePr>
        <xdr:cNvPr id="1063" name="Chart 1">
          <a:extLst>
            <a:ext uri="{FF2B5EF4-FFF2-40B4-BE49-F238E27FC236}">
              <a16:creationId xmlns:a16="http://schemas.microsoft.com/office/drawing/2014/main" id="{3C6DD040-4ADD-A7CA-39E4-BE924C182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4</xdr:row>
      <xdr:rowOff>6350</xdr:rowOff>
    </xdr:from>
    <xdr:to>
      <xdr:col>12</xdr:col>
      <xdr:colOff>0</xdr:colOff>
      <xdr:row>33</xdr:row>
      <xdr:rowOff>101600</xdr:rowOff>
    </xdr:to>
    <xdr:graphicFrame macro="">
      <xdr:nvGraphicFramePr>
        <xdr:cNvPr id="1064" name="Chart 2">
          <a:extLst>
            <a:ext uri="{FF2B5EF4-FFF2-40B4-BE49-F238E27FC236}">
              <a16:creationId xmlns:a16="http://schemas.microsoft.com/office/drawing/2014/main" id="{4B7C7FDA-5D1B-0A6D-591D-1B7210449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nd_ne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d_new"/>
    </sheetNames>
    <definedNames>
      <definedName name="C_xRange"/>
    </defined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9"/>
  <sheetViews>
    <sheetView showGridLines="0" showRowColHeaders="0" view="pageBreakPreview" zoomScale="60" zoomScaleNormal="100" workbookViewId="0">
      <selection activeCell="U25" sqref="U25"/>
    </sheetView>
  </sheetViews>
  <sheetFormatPr defaultRowHeight="12.5" x14ac:dyDescent="0.25"/>
  <cols>
    <col min="1" max="1" width="1.81640625" customWidth="1"/>
    <col min="10" max="10" width="11" customWidth="1"/>
  </cols>
  <sheetData>
    <row r="1" spans="2:15" ht="18.5" thickBot="1" x14ac:dyDescent="0.45">
      <c r="B1" s="336" t="e" vm="1">
        <v>#VALUE!</v>
      </c>
      <c r="C1" s="332" t="s">
        <v>272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4"/>
    </row>
    <row r="2" spans="2:15" s="80" customFormat="1" ht="13" x14ac:dyDescent="0.3">
      <c r="B2" s="335" t="s">
        <v>0</v>
      </c>
      <c r="C2" s="330"/>
      <c r="D2" s="330"/>
      <c r="E2" s="330"/>
      <c r="F2" s="330"/>
      <c r="G2" s="330"/>
      <c r="H2" s="330"/>
      <c r="I2" s="331" t="s">
        <v>194</v>
      </c>
      <c r="J2" s="331"/>
      <c r="K2" s="331"/>
      <c r="L2" s="331"/>
      <c r="M2" s="330"/>
      <c r="N2" s="330"/>
      <c r="O2" s="177"/>
    </row>
    <row r="3" spans="2:15" s="80" customFormat="1" ht="13" x14ac:dyDescent="0.3">
      <c r="B3" s="176" t="s">
        <v>201</v>
      </c>
      <c r="C3" s="81"/>
      <c r="D3" s="81"/>
      <c r="E3" s="81"/>
      <c r="F3" s="81"/>
      <c r="G3" s="81"/>
      <c r="H3" s="81"/>
      <c r="I3" s="82"/>
      <c r="J3" s="82"/>
      <c r="K3" s="81" t="s">
        <v>209</v>
      </c>
      <c r="L3" s="81"/>
      <c r="M3" s="81"/>
      <c r="N3" s="81"/>
      <c r="O3" s="177"/>
    </row>
    <row r="4" spans="2:15" s="80" customFormat="1" ht="13" x14ac:dyDescent="0.3">
      <c r="B4" s="222" t="s">
        <v>202</v>
      </c>
      <c r="C4" s="223"/>
      <c r="D4" s="223"/>
      <c r="E4" s="223"/>
      <c r="F4" s="223"/>
      <c r="G4" s="81"/>
      <c r="H4" s="81"/>
      <c r="I4" s="83"/>
      <c r="J4" s="83"/>
      <c r="K4" s="81" t="s">
        <v>191</v>
      </c>
      <c r="L4" s="81"/>
      <c r="M4" s="81"/>
      <c r="N4" s="81"/>
      <c r="O4" s="177"/>
    </row>
    <row r="5" spans="2:15" s="80" customFormat="1" ht="13" x14ac:dyDescent="0.3">
      <c r="B5" s="176" t="s">
        <v>204</v>
      </c>
      <c r="C5" s="81"/>
      <c r="D5" s="81"/>
      <c r="E5" s="81"/>
      <c r="F5" s="81"/>
      <c r="G5" s="81"/>
      <c r="H5" s="81"/>
      <c r="I5" s="149"/>
      <c r="J5" s="149"/>
      <c r="K5" s="81" t="s">
        <v>192</v>
      </c>
      <c r="L5" s="81"/>
      <c r="M5" s="81"/>
      <c r="N5" s="81"/>
      <c r="O5" s="177"/>
    </row>
    <row r="6" spans="2:15" s="80" customFormat="1" ht="13" x14ac:dyDescent="0.3">
      <c r="B6" s="222" t="s">
        <v>203</v>
      </c>
      <c r="C6" s="223"/>
      <c r="D6" s="223"/>
      <c r="E6" s="223"/>
      <c r="F6" s="81"/>
      <c r="G6" s="81"/>
      <c r="H6" s="81"/>
      <c r="I6" s="84"/>
      <c r="J6" s="84"/>
      <c r="K6" s="81" t="s">
        <v>193</v>
      </c>
      <c r="L6" s="81"/>
      <c r="M6" s="81"/>
      <c r="N6" s="81"/>
      <c r="O6" s="177"/>
    </row>
    <row r="7" spans="2:15" s="80" customFormat="1" ht="13" x14ac:dyDescent="0.3">
      <c r="B7" s="222" t="s">
        <v>208</v>
      </c>
      <c r="C7" s="223"/>
      <c r="D7" s="223"/>
      <c r="E7" s="223"/>
      <c r="F7" s="81"/>
      <c r="G7" s="81"/>
      <c r="H7" s="81"/>
      <c r="I7" s="206"/>
      <c r="J7" s="206"/>
      <c r="K7" s="81" t="s">
        <v>205</v>
      </c>
      <c r="L7" s="81"/>
      <c r="M7" s="81"/>
      <c r="N7" s="81"/>
      <c r="O7" s="177"/>
    </row>
    <row r="8" spans="2:15" s="80" customFormat="1" ht="13" x14ac:dyDescent="0.3">
      <c r="B8" s="229" t="s">
        <v>207</v>
      </c>
      <c r="C8" s="230"/>
      <c r="D8" s="230"/>
      <c r="E8" s="230"/>
      <c r="F8" s="178"/>
      <c r="G8" s="178"/>
      <c r="H8" s="178"/>
      <c r="I8" s="178"/>
      <c r="J8" s="178"/>
      <c r="K8" s="178"/>
      <c r="L8" s="178"/>
      <c r="M8" s="178"/>
      <c r="N8" s="178"/>
      <c r="O8" s="179"/>
    </row>
    <row r="9" spans="2:15" s="80" customFormat="1" ht="13" x14ac:dyDescent="0.3">
      <c r="B9" s="17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2:15" s="85" customFormat="1" ht="13" x14ac:dyDescent="0.3">
      <c r="B10" s="226" t="s">
        <v>7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8"/>
    </row>
    <row r="11" spans="2:15" s="85" customFormat="1" ht="12.75" customHeight="1" x14ac:dyDescent="0.25">
      <c r="B11" s="180"/>
      <c r="O11" s="181"/>
    </row>
    <row r="12" spans="2:15" s="80" customFormat="1" ht="12.75" customHeight="1" x14ac:dyDescent="0.3">
      <c r="B12" s="176"/>
      <c r="C12" s="86" t="s">
        <v>8</v>
      </c>
      <c r="D12" s="232">
        <v>44831</v>
      </c>
      <c r="E12" s="232"/>
      <c r="G12" s="86" t="s">
        <v>42</v>
      </c>
      <c r="H12" s="234" t="s">
        <v>271</v>
      </c>
      <c r="I12" s="233"/>
      <c r="K12" s="86" t="s">
        <v>9</v>
      </c>
      <c r="L12" s="224" t="s">
        <v>276</v>
      </c>
      <c r="M12" s="225"/>
      <c r="O12" s="182"/>
    </row>
    <row r="13" spans="2:15" s="80" customFormat="1" ht="12.75" customHeight="1" x14ac:dyDescent="0.25">
      <c r="B13" s="183"/>
      <c r="O13" s="182"/>
    </row>
    <row r="14" spans="2:15" s="80" customFormat="1" ht="12.75" customHeight="1" x14ac:dyDescent="0.25">
      <c r="B14" s="183"/>
      <c r="C14" s="86" t="s">
        <v>1</v>
      </c>
      <c r="D14" s="224" t="s">
        <v>273</v>
      </c>
      <c r="E14" s="225"/>
      <c r="G14" s="86" t="s">
        <v>4</v>
      </c>
      <c r="H14" s="234" t="s">
        <v>275</v>
      </c>
      <c r="I14" s="233"/>
      <c r="K14" s="86" t="s">
        <v>10</v>
      </c>
      <c r="L14" s="224" t="s">
        <v>277</v>
      </c>
      <c r="M14" s="225"/>
      <c r="O14" s="182"/>
    </row>
    <row r="15" spans="2:15" s="80" customFormat="1" ht="12.75" customHeight="1" x14ac:dyDescent="0.25">
      <c r="B15" s="183"/>
      <c r="O15" s="182"/>
    </row>
    <row r="16" spans="2:15" s="80" customFormat="1" ht="12.75" customHeight="1" x14ac:dyDescent="0.25">
      <c r="B16" s="183"/>
      <c r="C16" s="86" t="s">
        <v>2</v>
      </c>
      <c r="D16" s="224" t="s">
        <v>274</v>
      </c>
      <c r="E16" s="225"/>
      <c r="G16" s="86" t="s">
        <v>5</v>
      </c>
      <c r="H16" s="234" t="s">
        <v>280</v>
      </c>
      <c r="I16" s="233"/>
      <c r="K16" s="86" t="s">
        <v>11</v>
      </c>
      <c r="L16" s="224" t="s">
        <v>278</v>
      </c>
      <c r="M16" s="225"/>
      <c r="O16" s="182"/>
    </row>
    <row r="17" spans="2:15" s="80" customFormat="1" ht="12.75" customHeight="1" x14ac:dyDescent="0.25">
      <c r="B17" s="183"/>
      <c r="O17" s="182"/>
    </row>
    <row r="18" spans="2:15" s="80" customFormat="1" ht="12.75" customHeight="1" x14ac:dyDescent="0.25">
      <c r="B18" s="183"/>
      <c r="C18" s="86" t="s">
        <v>3</v>
      </c>
      <c r="D18" s="224" t="s">
        <v>270</v>
      </c>
      <c r="E18" s="225"/>
      <c r="G18" s="86" t="s">
        <v>6</v>
      </c>
      <c r="H18" s="233">
        <v>3</v>
      </c>
      <c r="I18" s="233"/>
      <c r="K18" s="86" t="s">
        <v>12</v>
      </c>
      <c r="L18" s="224" t="s">
        <v>279</v>
      </c>
      <c r="M18" s="225"/>
      <c r="O18" s="182"/>
    </row>
    <row r="19" spans="2:15" s="80" customFormat="1" x14ac:dyDescent="0.25">
      <c r="B19" s="183"/>
      <c r="O19" s="182"/>
    </row>
    <row r="20" spans="2:15" s="80" customFormat="1" x14ac:dyDescent="0.25">
      <c r="B20" s="183"/>
      <c r="O20" s="182"/>
    </row>
    <row r="21" spans="2:15" s="80" customFormat="1" ht="13" x14ac:dyDescent="0.25">
      <c r="B21" s="183"/>
      <c r="C21" s="86" t="s">
        <v>54</v>
      </c>
      <c r="D21" s="87">
        <v>10</v>
      </c>
      <c r="F21" s="86" t="s">
        <v>52</v>
      </c>
      <c r="G21" s="87">
        <v>3</v>
      </c>
      <c r="I21" s="86" t="s">
        <v>53</v>
      </c>
      <c r="J21" s="87">
        <v>3</v>
      </c>
      <c r="M21" s="86" t="s">
        <v>113</v>
      </c>
      <c r="N21" s="87">
        <v>206</v>
      </c>
      <c r="O21" s="182" t="str">
        <f>IF(Units="","",Units)</f>
        <v>mm</v>
      </c>
    </row>
    <row r="22" spans="2:15" s="80" customFormat="1" ht="13" x14ac:dyDescent="0.25">
      <c r="B22" s="183"/>
      <c r="C22" s="86"/>
      <c r="M22" s="86"/>
      <c r="O22" s="182"/>
    </row>
    <row r="23" spans="2:15" s="80" customFormat="1" ht="13" x14ac:dyDescent="0.25">
      <c r="B23" s="183"/>
      <c r="C23" s="86"/>
      <c r="M23" s="86" t="s">
        <v>114</v>
      </c>
      <c r="N23" s="87">
        <v>205</v>
      </c>
      <c r="O23" s="182" t="str">
        <f>IF(Units="","",Units)</f>
        <v>mm</v>
      </c>
    </row>
    <row r="24" spans="2:15" s="80" customFormat="1" ht="13" x14ac:dyDescent="0.25">
      <c r="B24" s="183"/>
      <c r="C24" s="86"/>
      <c r="M24" s="86"/>
      <c r="N24" s="86"/>
      <c r="O24" s="182"/>
    </row>
    <row r="25" spans="2:15" s="80" customFormat="1" ht="13" x14ac:dyDescent="0.25">
      <c r="B25" s="183"/>
      <c r="C25" s="86"/>
      <c r="M25" s="86" t="s">
        <v>115</v>
      </c>
      <c r="N25" s="145">
        <f>N21-N23</f>
        <v>1</v>
      </c>
      <c r="O25" s="182" t="str">
        <f>IF(Units="","",Units)</f>
        <v>mm</v>
      </c>
    </row>
    <row r="26" spans="2:15" s="80" customFormat="1" x14ac:dyDescent="0.25">
      <c r="B26" s="184"/>
      <c r="C26" s="185"/>
      <c r="D26" s="185" t="s">
        <v>15</v>
      </c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6"/>
    </row>
    <row r="27" spans="2:15" ht="6" customHeight="1" x14ac:dyDescent="0.25"/>
    <row r="28" spans="2:15" x14ac:dyDescent="0.25">
      <c r="B28" s="231" t="s">
        <v>89</v>
      </c>
      <c r="C28" s="231"/>
    </row>
    <row r="29" spans="2:15" x14ac:dyDescent="0.25">
      <c r="B29" s="337" t="s">
        <v>281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</row>
  </sheetData>
  <mergeCells count="21">
    <mergeCell ref="B29:O29"/>
    <mergeCell ref="B28:C28"/>
    <mergeCell ref="L18:M18"/>
    <mergeCell ref="L14:M14"/>
    <mergeCell ref="L12:M12"/>
    <mergeCell ref="L16:M16"/>
    <mergeCell ref="D12:E12"/>
    <mergeCell ref="H18:I18"/>
    <mergeCell ref="H16:I16"/>
    <mergeCell ref="H14:I14"/>
    <mergeCell ref="H12:I12"/>
    <mergeCell ref="B7:E7"/>
    <mergeCell ref="D14:E14"/>
    <mergeCell ref="D16:E16"/>
    <mergeCell ref="D18:E18"/>
    <mergeCell ref="I2:L2"/>
    <mergeCell ref="B6:E6"/>
    <mergeCell ref="B4:F4"/>
    <mergeCell ref="B10:O10"/>
    <mergeCell ref="B8:E8"/>
    <mergeCell ref="C1:O1"/>
  </mergeCells>
  <phoneticPr fontId="2" type="noConversion"/>
  <dataValidations count="5">
    <dataValidation type="custom" allowBlank="1" showInputMessage="1" showErrorMessage="1" errorTitle="Error" error="The value for the Upper Specification must be larger than that of the Lower Specification" promptTitle="Upper Specificaiton Limit" prompt="Enter the Upper Specification Limit" sqref="N21" xr:uid="{00000000-0002-0000-0000-000000000000}">
      <formula1>N21&gt;N23</formula1>
    </dataValidation>
    <dataValidation type="custom" allowBlank="1" showInputMessage="1" showErrorMessage="1" errorTitle="Error" error="The value for the Lower Specification must be smaller than that of the Upper Specification" promptTitle="Lower Specification Limit" prompt="Enter the Lower Specification Limit" sqref="N23" xr:uid="{00000000-0002-0000-0000-000001000000}">
      <formula1>N23&lt;N21</formula1>
    </dataValidation>
    <dataValidation type="list" allowBlank="1" showInputMessage="1" showErrorMessage="1" promptTitle="Sample Size" prompt="Enter a number between 2 and 10 inclusive" sqref="D21" xr:uid="{00000000-0002-0000-0000-000002000000}">
      <formula1>"2,3,4,5,6,7,8,9,10"</formula1>
    </dataValidation>
    <dataValidation type="list" allowBlank="1" showInputMessage="1" showErrorMessage="1" promptTitle="Number of Trials" prompt="Enter &quot;2&quot; or &quot;3&quot;" sqref="J21" xr:uid="{00000000-0002-0000-0000-000003000000}">
      <formula1>"2,3"</formula1>
    </dataValidation>
    <dataValidation type="list" allowBlank="1" showInputMessage="1" showErrorMessage="1" promptTitle="Number of Appraisers" prompt="Enter &quot;2&quot; or &quot;3&quot;" sqref="G21" xr:uid="{00000000-0002-0000-0000-000004000000}">
      <formula1>"2,3"</formula1>
    </dataValidation>
  </dataValidations>
  <hyperlinks>
    <hyperlink ref="B28" location="' Data'!A1" display="Next step: Enter Data" xr:uid="{00000000-0004-0000-0000-000000000000}"/>
    <hyperlink ref="B28:C28" location="DataHome" display="Next step: Enter Data" xr:uid="{00000000-0004-0000-0000-000001000000}"/>
    <hyperlink ref="B4" location="' Data'!A1" display="2) Enter information in Data worksheet" xr:uid="{00000000-0004-0000-0000-000002000000}"/>
    <hyperlink ref="B6" location="Results!A1" display="2) Review Results worksheet" xr:uid="{00000000-0004-0000-0000-000003000000}"/>
    <hyperlink ref="B7" location="'Bias &amp; Consistency Charts'!A1" display="5) Review Bias &amp; Consistency charts" xr:uid="{00000000-0004-0000-0000-000004000000}"/>
    <hyperlink ref="B8" location="'Ave &amp; Range Charts'!A1" display="6) Review Averages &amp; Ranges charts" xr:uid="{00000000-0004-0000-0000-000005000000}"/>
  </hyperlinks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34"/>
  <sheetViews>
    <sheetView showGridLines="0" showRowColHeaders="0" view="pageBreakPreview" zoomScale="60" zoomScaleNormal="100" workbookViewId="0">
      <selection activeCell="T17" sqref="T17"/>
    </sheetView>
  </sheetViews>
  <sheetFormatPr defaultRowHeight="12.5" x14ac:dyDescent="0.25"/>
  <cols>
    <col min="1" max="1" width="1.81640625" customWidth="1"/>
    <col min="2" max="2" width="3" customWidth="1"/>
    <col min="3" max="3" width="12.81640625" customWidth="1"/>
    <col min="15" max="15" width="9.54296875" bestFit="1" customWidth="1"/>
    <col min="16" max="16" width="2.453125" customWidth="1"/>
    <col min="17" max="17" width="1.81640625" customWidth="1"/>
  </cols>
  <sheetData>
    <row r="1" spans="2:16" ht="18.5" thickBot="1" x14ac:dyDescent="0.45">
      <c r="B1" s="339" t="e" vm="1">
        <v>#VALUE!</v>
      </c>
      <c r="C1" s="340"/>
      <c r="D1" s="328" t="s">
        <v>235</v>
      </c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9"/>
    </row>
    <row r="2" spans="2:16" ht="13" x14ac:dyDescent="0.3">
      <c r="B2" s="45"/>
      <c r="E2" s="235" t="str">
        <f>IF(OR(Tolerance="",NumTrials="",SampSize="",NumAppraisers=""),"Please return to setup and enter data in all of the gold cells!",IF(TargetCount&gt;NumTrials*SampSize*NumAppraisers,"Clear data from any yellow cells!",IF(TargetCount&lt;NumTrials*SampSize*NumAppraisers,"Enter data in gold cells!","")))</f>
        <v/>
      </c>
      <c r="F2" s="235"/>
      <c r="G2" s="235"/>
      <c r="H2" s="235"/>
      <c r="I2" s="235"/>
      <c r="J2" s="235"/>
      <c r="K2" s="235"/>
      <c r="L2" s="235"/>
      <c r="P2" s="49"/>
    </row>
    <row r="3" spans="2:16" ht="13" x14ac:dyDescent="0.3">
      <c r="B3" s="45"/>
      <c r="C3" s="52" t="s">
        <v>107</v>
      </c>
      <c r="D3" s="52" t="str">
        <f>IF(AppA=0,"",AppA)</f>
        <v>Ramu K</v>
      </c>
      <c r="P3" s="49"/>
    </row>
    <row r="4" spans="2:16" ht="13.5" thickBot="1" x14ac:dyDescent="0.35">
      <c r="B4" s="45"/>
      <c r="C4" s="15" t="s">
        <v>16</v>
      </c>
      <c r="D4" s="13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2" t="s">
        <v>13</v>
      </c>
      <c r="P4" s="49"/>
    </row>
    <row r="5" spans="2:16" ht="13" x14ac:dyDescent="0.3">
      <c r="B5" s="45"/>
      <c r="C5" s="16">
        <v>1</v>
      </c>
      <c r="D5" s="115">
        <v>205.16</v>
      </c>
      <c r="E5" s="116">
        <v>205.19</v>
      </c>
      <c r="F5" s="116">
        <v>205.14</v>
      </c>
      <c r="G5" s="116">
        <v>205.13</v>
      </c>
      <c r="H5" s="116">
        <v>205.94</v>
      </c>
      <c r="I5" s="116">
        <v>205.53</v>
      </c>
      <c r="J5" s="116">
        <v>205.15</v>
      </c>
      <c r="K5" s="116">
        <v>205</v>
      </c>
      <c r="L5" s="116">
        <v>205.16</v>
      </c>
      <c r="M5" s="116">
        <v>205.16</v>
      </c>
      <c r="N5" s="133">
        <f>IF(ISERROR(SUM(AppAT1)/SampSize),NA(),SUM(AppAT1)/SampSize)</f>
        <v>205.256</v>
      </c>
      <c r="P5" s="49"/>
    </row>
    <row r="6" spans="2:16" ht="13" x14ac:dyDescent="0.3">
      <c r="B6" s="45"/>
      <c r="C6" s="17">
        <v>2</v>
      </c>
      <c r="D6" s="117">
        <v>205.14</v>
      </c>
      <c r="E6" s="118">
        <v>205.49</v>
      </c>
      <c r="F6" s="118">
        <v>205.79</v>
      </c>
      <c r="G6" s="118">
        <v>205</v>
      </c>
      <c r="H6" s="118">
        <v>205.44</v>
      </c>
      <c r="I6" s="118">
        <v>205.23</v>
      </c>
      <c r="J6" s="118">
        <v>205.26</v>
      </c>
      <c r="K6" s="118">
        <v>205.88</v>
      </c>
      <c r="L6" s="118">
        <v>205.82</v>
      </c>
      <c r="M6" s="118">
        <v>205.63</v>
      </c>
      <c r="N6" s="134">
        <f>IF(ISERROR(SUM(AppAT2)/SampSize),NA(),SUM(AppAT2)/SampSize)</f>
        <v>205.46799999999999</v>
      </c>
      <c r="P6" s="49"/>
    </row>
    <row r="7" spans="2:16" ht="13.5" thickBot="1" x14ac:dyDescent="0.35">
      <c r="B7" s="45"/>
      <c r="C7" s="18">
        <v>3</v>
      </c>
      <c r="D7" s="119">
        <v>205.71</v>
      </c>
      <c r="E7" s="120">
        <v>205.49</v>
      </c>
      <c r="F7" s="120">
        <v>205.99</v>
      </c>
      <c r="G7" s="120">
        <v>205.57</v>
      </c>
      <c r="H7" s="120">
        <v>205.57</v>
      </c>
      <c r="I7" s="120">
        <v>205.4</v>
      </c>
      <c r="J7" s="120">
        <v>205.69</v>
      </c>
      <c r="K7" s="120">
        <v>205.67</v>
      </c>
      <c r="L7" s="120">
        <v>205.98</v>
      </c>
      <c r="M7" s="120">
        <v>205.34</v>
      </c>
      <c r="N7" s="135">
        <f>IF(ISERROR(SUM(AppAT3)/SampSize),NA(),SUM(AppAT3)/SampSize)</f>
        <v>205.64100000000002</v>
      </c>
      <c r="P7" s="49"/>
    </row>
    <row r="8" spans="2:16" ht="13.5" thickTop="1" x14ac:dyDescent="0.3">
      <c r="B8" s="45"/>
      <c r="C8" s="19" t="s">
        <v>13</v>
      </c>
      <c r="D8" s="121">
        <f>IF(ISERROR(SUM(AppA1)/NumTrials),NA(),SUM(AppA1)/NumTrials)</f>
        <v>205.33666666666667</v>
      </c>
      <c r="E8" s="122">
        <f>IF(ISERROR(SUM(AppA2)/NumTrials),NA(),SUM(AppA2)/NumTrials)</f>
        <v>205.39000000000001</v>
      </c>
      <c r="F8" s="122">
        <f>IF(ISERROR(SUM(AppA3)/NumTrials),NA(),SUM(AppA3)/NumTrials)</f>
        <v>205.64</v>
      </c>
      <c r="G8" s="122">
        <f>IF(ISERROR(SUM(AppA4)/NumTrials),NA(),SUM(AppA4)/NumTrials)</f>
        <v>205.23333333333335</v>
      </c>
      <c r="H8" s="122">
        <f>IF(ISERROR(SUM(AppA5)/NumTrials),NA(),SUM(AppA5)/NumTrials)</f>
        <v>205.65</v>
      </c>
      <c r="I8" s="122">
        <f>IF(ISERROR(SUM(AppA6)/NumTrials),NA(),SUM(AppA6)/NumTrials)</f>
        <v>205.38666666666666</v>
      </c>
      <c r="J8" s="122">
        <f>IF(ISERROR(SUM(AppA7)/NumTrials),NA(),SUM(AppA7)/NumTrials)</f>
        <v>205.36666666666665</v>
      </c>
      <c r="K8" s="122">
        <f>IF(ISERROR(SUM(AppA8)/NumTrials),NA(),SUM(AppA8)/NumTrials)</f>
        <v>205.51666666666665</v>
      </c>
      <c r="L8" s="122">
        <f>IF(ISERROR(SUM(AppA9)/NumTrials),NA(),SUM(AppA9)/NumTrials)</f>
        <v>205.65333333333334</v>
      </c>
      <c r="M8" s="122">
        <f>IF(ISERROR(SUM(AppA10)/NumTrials),NA(),SUM(AppA10)/NumTrials)</f>
        <v>205.37666666666667</v>
      </c>
      <c r="N8" s="136" t="s">
        <v>57</v>
      </c>
      <c r="O8" s="140">
        <f>IF(ISERROR(SUM(N5:N7)/NumTrials),NA(),SUM(N5:N7)/NumTrials)</f>
        <v>205.45500000000001</v>
      </c>
      <c r="P8" s="49"/>
    </row>
    <row r="9" spans="2:16" ht="13" x14ac:dyDescent="0.3">
      <c r="B9" s="45"/>
      <c r="C9" s="20" t="s">
        <v>14</v>
      </c>
      <c r="D9" s="123">
        <f>IF(D8&lt;&gt;"#NA",MAX(AppA1)-MIN(AppA1),NA())</f>
        <v>0.5700000000000216</v>
      </c>
      <c r="E9" s="124">
        <f>IF(E8&lt;&gt;"#NA",MAX(AppA2)-MIN(AppA2),NA())</f>
        <v>0.30000000000001137</v>
      </c>
      <c r="F9" s="124">
        <f>IF(F8&lt;&gt;"#NA",MAX(AppA3)-MIN(AppA3),NA())</f>
        <v>0.85000000000002274</v>
      </c>
      <c r="G9" s="124">
        <f>IF(G8&lt;&gt;"#NA",MAX(AppA4)-MIN(AppA4),NA())</f>
        <v>0.56999999999999318</v>
      </c>
      <c r="H9" s="124">
        <f>IF(H8&lt;&gt;"#NA",MAX(AppA5)-MIN(AppA5),NA())</f>
        <v>0.5</v>
      </c>
      <c r="I9" s="124">
        <f>IF(I8&lt;&gt;"#NA",MAX(AppA6)-MIN(AppA6),NA())</f>
        <v>0.30000000000001137</v>
      </c>
      <c r="J9" s="124">
        <f>IF(J8&lt;&gt;"#NA",MAX(AppA7)-MIN(AppA7),NA())</f>
        <v>0.53999999999999204</v>
      </c>
      <c r="K9" s="124">
        <f>IF(K8&lt;&gt;"#NA",MAX(AppA8)-MIN(AppA8),NA())</f>
        <v>0.87999999999999545</v>
      </c>
      <c r="L9" s="124">
        <f>IF(L8&lt;&gt;"#NA",MAX(AppA9)-MIN(AppA9),NA())</f>
        <v>0.81999999999999318</v>
      </c>
      <c r="M9" s="124">
        <f>IF(M8&lt;&gt;"#NA",MAX(AppA10)-MIN(AppA10),NA())</f>
        <v>0.46999999999999886</v>
      </c>
      <c r="N9" s="137" t="s">
        <v>58</v>
      </c>
      <c r="O9" s="141">
        <f>IF(ISERROR(SUM(AppARange)/SampSize),NA(),SUM(AppARange)/SampSize)</f>
        <v>0.58000000000000396</v>
      </c>
      <c r="P9" s="49"/>
    </row>
    <row r="10" spans="2:16" x14ac:dyDescent="0.25">
      <c r="B10" s="4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38"/>
      <c r="O10" s="138"/>
      <c r="P10" s="49"/>
    </row>
    <row r="11" spans="2:16" ht="13" x14ac:dyDescent="0.3">
      <c r="B11" s="45"/>
      <c r="C11" s="52" t="s">
        <v>108</v>
      </c>
      <c r="D11" s="126" t="str">
        <f>IF(NumAppraisers&gt;=2,IF(AppB=0,"",AppB),"")</f>
        <v>Tapan V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38"/>
      <c r="O11" s="138"/>
      <c r="P11" s="49"/>
    </row>
    <row r="12" spans="2:16" ht="13.5" thickBot="1" x14ac:dyDescent="0.35">
      <c r="B12" s="45"/>
      <c r="C12" s="15" t="s">
        <v>16</v>
      </c>
      <c r="D12" s="142">
        <v>1</v>
      </c>
      <c r="E12" s="143">
        <v>2</v>
      </c>
      <c r="F12" s="143">
        <v>3</v>
      </c>
      <c r="G12" s="143">
        <v>4</v>
      </c>
      <c r="H12" s="143">
        <v>5</v>
      </c>
      <c r="I12" s="143">
        <v>6</v>
      </c>
      <c r="J12" s="143">
        <v>7</v>
      </c>
      <c r="K12" s="143">
        <v>8</v>
      </c>
      <c r="L12" s="143">
        <v>9</v>
      </c>
      <c r="M12" s="143">
        <v>10</v>
      </c>
      <c r="N12" s="139" t="s">
        <v>13</v>
      </c>
      <c r="O12" s="138"/>
      <c r="P12" s="49"/>
    </row>
    <row r="13" spans="2:16" ht="13" x14ac:dyDescent="0.3">
      <c r="B13" s="45"/>
      <c r="C13" s="16">
        <v>1</v>
      </c>
      <c r="D13" s="127">
        <v>205.14</v>
      </c>
      <c r="E13" s="128">
        <v>205.73</v>
      </c>
      <c r="F13" s="128">
        <v>205.27</v>
      </c>
      <c r="G13" s="128">
        <v>205.23</v>
      </c>
      <c r="H13" s="128">
        <v>205.93</v>
      </c>
      <c r="I13" s="128">
        <v>205.36</v>
      </c>
      <c r="J13" s="128">
        <v>205.83</v>
      </c>
      <c r="K13" s="128">
        <v>205.39</v>
      </c>
      <c r="L13" s="128">
        <v>205.26</v>
      </c>
      <c r="M13" s="128">
        <v>205.4</v>
      </c>
      <c r="N13" s="133">
        <f>IF(ISERROR(SUM(AppBT1)/SampSize),NA(),SUM(AppBT1)/SampSize)</f>
        <v>205.45399999999995</v>
      </c>
      <c r="O13" s="138"/>
      <c r="P13" s="49"/>
    </row>
    <row r="14" spans="2:16" ht="13" x14ac:dyDescent="0.3">
      <c r="B14" s="45"/>
      <c r="C14" s="17">
        <v>2</v>
      </c>
      <c r="D14" s="129">
        <v>205.94</v>
      </c>
      <c r="E14" s="130">
        <v>205.25</v>
      </c>
      <c r="F14" s="130">
        <v>205.13</v>
      </c>
      <c r="G14" s="130">
        <v>205.73</v>
      </c>
      <c r="H14" s="130">
        <v>205.86</v>
      </c>
      <c r="I14" s="130">
        <v>205.25</v>
      </c>
      <c r="J14" s="130">
        <v>205.63</v>
      </c>
      <c r="K14" s="130">
        <v>205.97</v>
      </c>
      <c r="L14" s="130">
        <v>205.49</v>
      </c>
      <c r="M14" s="130">
        <v>205.09</v>
      </c>
      <c r="N14" s="134">
        <f>IF(ISERROR(SUM(AppBT2)/SampSize),NA(),SUM(AppBT2)/SampSize)</f>
        <v>205.53400000000002</v>
      </c>
      <c r="O14" s="138"/>
      <c r="P14" s="49"/>
    </row>
    <row r="15" spans="2:16" ht="13.5" thickBot="1" x14ac:dyDescent="0.35">
      <c r="B15" s="45"/>
      <c r="C15" s="18">
        <v>3</v>
      </c>
      <c r="D15" s="131">
        <v>205.79</v>
      </c>
      <c r="E15" s="132">
        <v>205.78</v>
      </c>
      <c r="F15" s="132">
        <v>205</v>
      </c>
      <c r="G15" s="132">
        <v>205.04</v>
      </c>
      <c r="H15" s="132">
        <v>205.28</v>
      </c>
      <c r="I15" s="132">
        <v>205.54</v>
      </c>
      <c r="J15" s="132">
        <v>205.64</v>
      </c>
      <c r="K15" s="132">
        <v>205.02</v>
      </c>
      <c r="L15" s="132">
        <v>205.72</v>
      </c>
      <c r="M15" s="132">
        <v>205.04</v>
      </c>
      <c r="N15" s="135">
        <f>IF(ISERROR(SUM(AppBT3)/SampSize),NA(),SUM(AppBT3)/SampSize)</f>
        <v>205.38499999999999</v>
      </c>
      <c r="O15" s="138"/>
      <c r="P15" s="49"/>
    </row>
    <row r="16" spans="2:16" ht="13.5" thickTop="1" x14ac:dyDescent="0.3">
      <c r="B16" s="45"/>
      <c r="C16" s="19" t="s">
        <v>13</v>
      </c>
      <c r="D16" s="121">
        <f>IF(ISERROR(SUM(AppB1)/NumTrials),NA(),SUM(AppB1)/NumTrials)</f>
        <v>205.62333333333333</v>
      </c>
      <c r="E16" s="122">
        <f>IF(ISERROR(SUM(AppB2)/NumTrials),NA(),SUM(AppB2)/NumTrials)</f>
        <v>205.58666666666667</v>
      </c>
      <c r="F16" s="122">
        <f>IF(ISERROR(SUM(AppB3)/NumTrials),NA(),SUM(AppB3)/NumTrials)</f>
        <v>205.13333333333333</v>
      </c>
      <c r="G16" s="122">
        <f>IF(ISERROR(SUM(AppB4)/NumTrials),NA(),SUM(AppB4)/NumTrials)</f>
        <v>205.33333333333334</v>
      </c>
      <c r="H16" s="122">
        <f>IF(ISERROR(SUM(AppB5)/NumTrials),NA(),SUM(AppB5)/NumTrials)</f>
        <v>205.69000000000003</v>
      </c>
      <c r="I16" s="122">
        <f>IF(ISERROR(SUM(AppB6)/NumTrials),NA(),SUM(AppB6)/NumTrials)</f>
        <v>205.38333333333333</v>
      </c>
      <c r="J16" s="122">
        <f>IF(ISERROR(SUM(AppB7)/NumTrials),NA(),SUM(AppB7)/NumTrials)</f>
        <v>205.70000000000002</v>
      </c>
      <c r="K16" s="122">
        <f>IF(ISERROR(SUM(AppB8)/NumTrials),NA(),SUM(AppB8)/NumTrials)</f>
        <v>205.46</v>
      </c>
      <c r="L16" s="122">
        <f>IF(ISERROR(SUM(AppB9)/NumTrials),NA(),SUM(AppB9)/NumTrials)</f>
        <v>205.49</v>
      </c>
      <c r="M16" s="122">
        <f>IF(ISERROR(SUM(AppB10)/NumTrials),NA(),SUM(AppB10)/NumTrials)</f>
        <v>205.17666666666665</v>
      </c>
      <c r="N16" s="136" t="s">
        <v>59</v>
      </c>
      <c r="O16" s="140">
        <f>IF(ISERROR(SUM(N13:N15)/NumTrials),NA(),SUM(N13:N15)/NumTrials)</f>
        <v>205.45766666666665</v>
      </c>
      <c r="P16" s="49"/>
    </row>
    <row r="17" spans="2:16" ht="13" x14ac:dyDescent="0.3">
      <c r="B17" s="45"/>
      <c r="C17" s="20" t="s">
        <v>14</v>
      </c>
      <c r="D17" s="123">
        <f>IF(D16&lt;&gt;"#NA",MAX(AppB1)-MIN(AppB1),NA())</f>
        <v>0.80000000000001137</v>
      </c>
      <c r="E17" s="124">
        <f>IF(E16&lt;&gt;"#NA",MAX(AppB2)-MIN(AppB2),NA())</f>
        <v>0.53000000000000114</v>
      </c>
      <c r="F17" s="124">
        <f>IF(F16&lt;&gt;"#NA",MAX(AppB3)-MIN(AppB3),NA())</f>
        <v>0.27000000000001023</v>
      </c>
      <c r="G17" s="124">
        <f>IF(G16&lt;&gt;"#NA",MAX(AppB4)-MIN(AppB4),NA())</f>
        <v>0.68999999999999773</v>
      </c>
      <c r="H17" s="124">
        <f>IF(H16&lt;&gt;"#NA",MAX(AppB5)-MIN(AppB5),NA())</f>
        <v>0.65000000000000568</v>
      </c>
      <c r="I17" s="124">
        <f>IF(I16&lt;&gt;"#NA",MAX(AppB6)-MIN(AppB6),NA())</f>
        <v>0.28999999999999204</v>
      </c>
      <c r="J17" s="124">
        <f>IF(J16&lt;&gt;"#NA",MAX(AppB7)-MIN(AppB7),NA())</f>
        <v>0.20000000000001705</v>
      </c>
      <c r="K17" s="124">
        <f>IF(K16&lt;&gt;"#NA",MAX(AppB8)-MIN(AppB8),NA())</f>
        <v>0.94999999999998863</v>
      </c>
      <c r="L17" s="124">
        <f>IF(L16&lt;&gt;"#NA",MAX(AppB9)-MIN(AppB9),NA())</f>
        <v>0.46000000000000796</v>
      </c>
      <c r="M17" s="124">
        <f>IF(M16&lt;&gt;"#NA",MAX(AppB10)-MIN(AppB10),NA())</f>
        <v>0.36000000000001364</v>
      </c>
      <c r="N17" s="137" t="s">
        <v>60</v>
      </c>
      <c r="O17" s="141">
        <f>IF(ISERROR(SUM(AppBRange)/SampSize),NA(),SUM(AppBRange)/SampSize)</f>
        <v>0.52000000000000457</v>
      </c>
      <c r="P17" s="49"/>
    </row>
    <row r="18" spans="2:16" x14ac:dyDescent="0.25">
      <c r="B18" s="4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38"/>
      <c r="O18" s="138"/>
      <c r="P18" s="49"/>
    </row>
    <row r="19" spans="2:16" ht="13" x14ac:dyDescent="0.3">
      <c r="B19" s="45"/>
      <c r="C19" s="52" t="s">
        <v>109</v>
      </c>
      <c r="D19" s="126" t="str">
        <f>IF(NumAppraisers=3,IF(AppC=0,"",AppC),"")</f>
        <v>Montu R</v>
      </c>
      <c r="E19" s="125"/>
      <c r="F19" s="125"/>
      <c r="G19" s="125"/>
      <c r="H19" s="125"/>
      <c r="I19" s="125"/>
      <c r="J19" s="125"/>
      <c r="K19" s="125"/>
      <c r="L19" s="125"/>
      <c r="M19" s="125"/>
      <c r="N19" s="138"/>
      <c r="O19" s="138"/>
      <c r="P19" s="49"/>
    </row>
    <row r="20" spans="2:16" ht="13.5" thickBot="1" x14ac:dyDescent="0.35">
      <c r="B20" s="45"/>
      <c r="C20" s="15" t="s">
        <v>16</v>
      </c>
      <c r="D20" s="142">
        <v>1</v>
      </c>
      <c r="E20" s="143">
        <v>2</v>
      </c>
      <c r="F20" s="143">
        <v>3</v>
      </c>
      <c r="G20" s="143">
        <v>4</v>
      </c>
      <c r="H20" s="143">
        <v>5</v>
      </c>
      <c r="I20" s="143">
        <v>6</v>
      </c>
      <c r="J20" s="143">
        <v>7</v>
      </c>
      <c r="K20" s="143">
        <v>8</v>
      </c>
      <c r="L20" s="143">
        <v>9</v>
      </c>
      <c r="M20" s="143">
        <v>10</v>
      </c>
      <c r="N20" s="139" t="s">
        <v>13</v>
      </c>
      <c r="O20" s="138"/>
      <c r="P20" s="49"/>
    </row>
    <row r="21" spans="2:16" ht="13" x14ac:dyDescent="0.3">
      <c r="B21" s="45"/>
      <c r="C21" s="16">
        <v>1</v>
      </c>
      <c r="D21" s="127">
        <v>205.7</v>
      </c>
      <c r="E21" s="128">
        <v>205.45</v>
      </c>
      <c r="F21" s="128">
        <v>205.36</v>
      </c>
      <c r="G21" s="128">
        <v>205.2</v>
      </c>
      <c r="H21" s="128">
        <v>205.4</v>
      </c>
      <c r="I21" s="128">
        <v>205.98</v>
      </c>
      <c r="J21" s="128">
        <v>205.06</v>
      </c>
      <c r="K21" s="128">
        <v>205.78</v>
      </c>
      <c r="L21" s="128">
        <v>205.72</v>
      </c>
      <c r="M21" s="128">
        <v>205.65</v>
      </c>
      <c r="N21" s="133">
        <f>IF(ISERROR(SUM(AppCT1)/SampSize),NA(),SUM(AppCT1)/SampSize)</f>
        <v>205.53000000000003</v>
      </c>
      <c r="O21" s="138"/>
      <c r="P21" s="49"/>
    </row>
    <row r="22" spans="2:16" ht="13" x14ac:dyDescent="0.3">
      <c r="B22" s="45"/>
      <c r="C22" s="17">
        <v>2</v>
      </c>
      <c r="D22" s="129">
        <v>205.55</v>
      </c>
      <c r="E22" s="130">
        <v>205.95</v>
      </c>
      <c r="F22" s="130">
        <v>205.58</v>
      </c>
      <c r="G22" s="130">
        <v>205.14</v>
      </c>
      <c r="H22" s="130">
        <v>205.48</v>
      </c>
      <c r="I22" s="130">
        <v>205.86</v>
      </c>
      <c r="J22" s="130">
        <v>205.38</v>
      </c>
      <c r="K22" s="130">
        <v>205.19</v>
      </c>
      <c r="L22" s="130">
        <v>205.45</v>
      </c>
      <c r="M22" s="130">
        <v>205.17</v>
      </c>
      <c r="N22" s="134">
        <f>IF(ISERROR(SUM(AppCT2)/SampSize),NA(),SUM(AppCT2)/SampSize)</f>
        <v>205.47499999999999</v>
      </c>
      <c r="O22" s="138"/>
      <c r="P22" s="49"/>
    </row>
    <row r="23" spans="2:16" ht="13.5" thickBot="1" x14ac:dyDescent="0.35">
      <c r="B23" s="45"/>
      <c r="C23" s="18">
        <v>3</v>
      </c>
      <c r="D23" s="131">
        <v>205.12</v>
      </c>
      <c r="E23" s="132">
        <v>205.16</v>
      </c>
      <c r="F23" s="132">
        <v>205.32</v>
      </c>
      <c r="G23" s="132">
        <v>205.49</v>
      </c>
      <c r="H23" s="132">
        <v>205.22</v>
      </c>
      <c r="I23" s="132">
        <v>205.93</v>
      </c>
      <c r="J23" s="132">
        <v>205.65</v>
      </c>
      <c r="K23" s="132">
        <v>205.53</v>
      </c>
      <c r="L23" s="132">
        <v>205.03</v>
      </c>
      <c r="M23" s="132">
        <v>205.78</v>
      </c>
      <c r="N23" s="135">
        <f>IF(ISERROR(SUM(AppCT3)/SampSize),NA(),SUM(AppCT3)/SampSize)</f>
        <v>205.423</v>
      </c>
      <c r="O23" s="138"/>
      <c r="P23" s="49"/>
    </row>
    <row r="24" spans="2:16" ht="13.5" thickTop="1" x14ac:dyDescent="0.3">
      <c r="B24" s="45"/>
      <c r="C24" s="19" t="s">
        <v>13</v>
      </c>
      <c r="D24" s="121">
        <f>IF(ISERROR(SUM(AppC1)/NumTrials),NA(),SUM(AppC1)/NumTrials)</f>
        <v>205.45666666666668</v>
      </c>
      <c r="E24" s="122">
        <f>IF(ISERROR(SUM(AppC2)/NumTrials),NA(),SUM(AppC2)/NumTrials)</f>
        <v>205.51999999999998</v>
      </c>
      <c r="F24" s="122">
        <f>IF(ISERROR(SUM(AppC3)/NumTrials),NA(),SUM(AppC3)/NumTrials)</f>
        <v>205.42</v>
      </c>
      <c r="G24" s="122">
        <f>IF(ISERROR(SUM(AppC4)/NumTrials),NA(),SUM(AppC4)/NumTrials)</f>
        <v>205.27666666666664</v>
      </c>
      <c r="H24" s="122">
        <f>IF(ISERROR(SUM(AppC5)/NumTrials),NA(),SUM(AppC5)/NumTrials)</f>
        <v>205.36666666666667</v>
      </c>
      <c r="I24" s="122">
        <f>IF(ISERROR(SUM(AppC6)/NumTrials),NA(),SUM(AppC6)/NumTrials)</f>
        <v>205.92333333333332</v>
      </c>
      <c r="J24" s="122">
        <f>IF(ISERROR(SUM(AppC7)/NumTrials),NA(),SUM(AppC7)/NumTrials)</f>
        <v>205.36333333333334</v>
      </c>
      <c r="K24" s="122">
        <f>IF(ISERROR(SUM(AppC8)/NumTrials),NA(),SUM(AppC8)/NumTrials)</f>
        <v>205.5</v>
      </c>
      <c r="L24" s="122">
        <f>IF(ISERROR(SUM(AppC9)/NumTrials),NA(),SUM(AppC9)/NumTrials)</f>
        <v>205.39999999999998</v>
      </c>
      <c r="M24" s="122">
        <f>IF(ISERROR(SUM(AppC10)/NumTrials),NA(),SUM(AppC10)/NumTrials)</f>
        <v>205.53333333333333</v>
      </c>
      <c r="N24" s="9" t="s">
        <v>61</v>
      </c>
      <c r="O24" s="140">
        <f>IF(ISERROR(SUM(N21:N23)/NumTrials),NA(),SUM(N21:N23)/NumTrials)</f>
        <v>205.476</v>
      </c>
      <c r="P24" s="49"/>
    </row>
    <row r="25" spans="2:16" ht="13" x14ac:dyDescent="0.3">
      <c r="B25" s="45"/>
      <c r="C25" s="20" t="s">
        <v>14</v>
      </c>
      <c r="D25" s="123">
        <f>IF(D24&lt;&gt;"#NA",MAX(AppC1)-MIN(AppC1),NA())</f>
        <v>0.57999999999998408</v>
      </c>
      <c r="E25" s="124">
        <f>IF(E24&lt;&gt;"#NA",MAX(AppC2)-MIN(AppC2),NA())</f>
        <v>0.78999999999999204</v>
      </c>
      <c r="F25" s="124">
        <f>IF(F24&lt;&gt;"#NA",MAX(AppC3)-MIN(AppC3),NA())</f>
        <v>0.26000000000001933</v>
      </c>
      <c r="G25" s="124">
        <f>IF(G24&lt;&gt;"#NA",MAX(AppC4)-MIN(AppC4),NA())</f>
        <v>0.35000000000002274</v>
      </c>
      <c r="H25" s="124">
        <f>IF(H24&lt;&gt;"#NA",MAX(AppC5)-MIN(AppC5),NA())</f>
        <v>0.25999999999999091</v>
      </c>
      <c r="I25" s="124">
        <f>IF(I24&lt;&gt;"#NA",MAX(AppC6)-MIN(AppC6),NA())</f>
        <v>0.11999999999997613</v>
      </c>
      <c r="J25" s="124">
        <f>IF(J24&lt;&gt;"#NA",MAX(AppC7)-MIN(AppC7),NA())</f>
        <v>0.59000000000000341</v>
      </c>
      <c r="K25" s="124">
        <f>IF(K24&lt;&gt;"#NA",MAX(AppC8)-MIN(AppC8),NA())</f>
        <v>0.59000000000000341</v>
      </c>
      <c r="L25" s="124">
        <f>IF(L24&lt;&gt;"#NA",MAX(AppC9)-MIN(AppC9),NA())</f>
        <v>0.68999999999999773</v>
      </c>
      <c r="M25" s="124">
        <f>IF(M24&lt;&gt;"#NA",MAX(AppC10)-MIN(AppC10),NA())</f>
        <v>0.61000000000001364</v>
      </c>
      <c r="N25" s="8" t="s">
        <v>62</v>
      </c>
      <c r="O25" s="141">
        <f>IF(ISERROR(SUM(AppCRange)/SampSize),NA(),SUM(AppCRange)/SampSize)</f>
        <v>0.48400000000000032</v>
      </c>
      <c r="P25" s="49"/>
    </row>
    <row r="26" spans="2:16" x14ac:dyDescent="0.25">
      <c r="B26" s="4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O26" s="138"/>
      <c r="P26" s="49"/>
    </row>
    <row r="27" spans="2:16" ht="15" x14ac:dyDescent="0.4">
      <c r="B27" s="45"/>
      <c r="C27" s="20" t="s">
        <v>31</v>
      </c>
      <c r="D27" s="124">
        <f t="shared" ref="D27:M27" si="0">(D8+D16+D24)/NumAppraisers</f>
        <v>205.47222222222226</v>
      </c>
      <c r="E27" s="124">
        <f t="shared" si="0"/>
        <v>205.4988888888889</v>
      </c>
      <c r="F27" s="124">
        <f t="shared" si="0"/>
        <v>205.39777777777775</v>
      </c>
      <c r="G27" s="124">
        <f t="shared" si="0"/>
        <v>205.28111111111113</v>
      </c>
      <c r="H27" s="124">
        <f t="shared" si="0"/>
        <v>205.56888888888889</v>
      </c>
      <c r="I27" s="124">
        <f t="shared" si="0"/>
        <v>205.56444444444443</v>
      </c>
      <c r="J27" s="124">
        <f t="shared" si="0"/>
        <v>205.47666666666669</v>
      </c>
      <c r="K27" s="124">
        <f t="shared" si="0"/>
        <v>205.49222222222224</v>
      </c>
      <c r="L27" s="124">
        <f t="shared" si="0"/>
        <v>205.51444444444442</v>
      </c>
      <c r="M27" s="124">
        <f t="shared" si="0"/>
        <v>205.36222222222219</v>
      </c>
      <c r="N27" s="8" t="s">
        <v>32</v>
      </c>
      <c r="O27" s="207">
        <f ca="1">IF(ISERROR(AVERAGE(Part_Average)),NA(),AVERAGE(Part_Average))</f>
        <v>205.4628888888889</v>
      </c>
      <c r="P27" s="49"/>
    </row>
    <row r="28" spans="2:16" ht="15" x14ac:dyDescent="0.4">
      <c r="B28" s="45"/>
      <c r="C28" s="52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8" t="s">
        <v>40</v>
      </c>
      <c r="O28" s="207">
        <f>RDblBar</f>
        <v>0.52800000000000302</v>
      </c>
      <c r="P28" s="49"/>
    </row>
    <row r="29" spans="2:16" ht="16" x14ac:dyDescent="0.4">
      <c r="B29" s="45"/>
      <c r="C29" s="236" t="s">
        <v>134</v>
      </c>
      <c r="D29" s="236"/>
      <c r="E29" s="146"/>
      <c r="F29" s="146"/>
      <c r="G29" s="146"/>
      <c r="H29" s="147" t="s">
        <v>129</v>
      </c>
      <c r="I29" s="148">
        <f ca="1">VAR(Part_Average)</f>
        <v>8.2285871056245099E-3</v>
      </c>
      <c r="J29" s="146"/>
      <c r="M29" s="55" t="s">
        <v>55</v>
      </c>
      <c r="N29" s="56" t="s">
        <v>33</v>
      </c>
      <c r="O29" s="207">
        <f ca="1">MAX(Part_Average)-MIN(Part_Average)</f>
        <v>0.28777777777776237</v>
      </c>
      <c r="P29" s="49"/>
    </row>
    <row r="30" spans="2:16" ht="16" x14ac:dyDescent="0.4">
      <c r="B30" s="45"/>
      <c r="C30" s="109" t="s">
        <v>90</v>
      </c>
      <c r="D30" s="109"/>
      <c r="E30" s="109"/>
      <c r="F30" s="146"/>
      <c r="G30" s="146"/>
      <c r="H30" s="147" t="s">
        <v>130</v>
      </c>
      <c r="I30" s="148">
        <f>IF(NumAppraisers=2,VAR(XBarA,XBarB),VAR(XBarA,XBarB,XBarC))</f>
        <v>1.3070370370365923E-4</v>
      </c>
      <c r="J30" s="146"/>
      <c r="M30" s="55" t="s">
        <v>56</v>
      </c>
      <c r="N30" s="56" t="s">
        <v>46</v>
      </c>
      <c r="O30" s="207">
        <f>IF(NumAppraisers=2,MAX(XBarA,XBarB)-MIN(XBarA,XBarB),MAX(XBarA,XBarB,XBarC)-MIN(XBarA,XBarB,XBarC))</f>
        <v>2.0999999999986585E-2</v>
      </c>
      <c r="P30" s="49"/>
    </row>
    <row r="31" spans="2:16" ht="13" thickBot="1" x14ac:dyDescent="0.3">
      <c r="B31" s="45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49"/>
    </row>
    <row r="32" spans="2:16" ht="6" customHeight="1" x14ac:dyDescent="0.25">
      <c r="B32" s="342" t="s">
        <v>281</v>
      </c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4"/>
    </row>
    <row r="33" spans="2:16" ht="13" thickBot="1" x14ac:dyDescent="0.3">
      <c r="B33" s="345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7"/>
    </row>
    <row r="34" spans="2:16" x14ac:dyDescent="0.25">
      <c r="F34" s="208"/>
    </row>
  </sheetData>
  <mergeCells count="5">
    <mergeCell ref="B32:P33"/>
    <mergeCell ref="E2:L2"/>
    <mergeCell ref="C29:D29"/>
    <mergeCell ref="D1:P1"/>
    <mergeCell ref="B1:C1"/>
  </mergeCells>
  <phoneticPr fontId="2" type="noConversion"/>
  <conditionalFormatting sqref="C5:C7">
    <cfRule type="expression" dxfId="42" priority="1" stopIfTrue="1">
      <formula>IF(AND($C5&lt;=NumTrials,NumAppraisers&gt;=1),1,0)</formula>
    </cfRule>
  </conditionalFormatting>
  <conditionalFormatting sqref="C13:C15">
    <cfRule type="expression" dxfId="41" priority="6" stopIfTrue="1">
      <formula>IF(AND($C13&lt;=NumTrials,NumAppraisers&gt;=2),1,0)</formula>
    </cfRule>
  </conditionalFormatting>
  <conditionalFormatting sqref="C21:C23">
    <cfRule type="expression" dxfId="40" priority="8" stopIfTrue="1">
      <formula>IF(AND($C21&lt;=NumTrials,NumAppraisers&gt;=3),1,0)</formula>
    </cfRule>
  </conditionalFormatting>
  <conditionalFormatting sqref="D4:M4">
    <cfRule type="expression" dxfId="39" priority="2" stopIfTrue="1">
      <formula>IF(AND(D$4&lt;=SampSize,NumAppraisers&gt;=1),1,0)</formula>
    </cfRule>
  </conditionalFormatting>
  <conditionalFormatting sqref="D5:M7">
    <cfRule type="expression" dxfId="38" priority="14" stopIfTrue="1">
      <formula>IF(AND(D$4&lt;=SampSize,$C5&lt;=NumTrials, NumAppraisers&gt;=1),1,0)</formula>
    </cfRule>
    <cfRule type="expression" dxfId="37" priority="15" stopIfTrue="1">
      <formula>IF(ISNUMBER(D5),1,0)</formula>
    </cfRule>
  </conditionalFormatting>
  <conditionalFormatting sqref="D8:M9">
    <cfRule type="expression" dxfId="36" priority="10" stopIfTrue="1">
      <formula>IF(AND(NumAppraisers&gt;=1,D$4&lt;=SampSize),1,0)</formula>
    </cfRule>
  </conditionalFormatting>
  <conditionalFormatting sqref="D12:M12">
    <cfRule type="expression" dxfId="35" priority="3" stopIfTrue="1">
      <formula>IF(AND(D$4&lt;=SampSize,NumAppraisers&gt;=2),1,0)</formula>
    </cfRule>
  </conditionalFormatting>
  <conditionalFormatting sqref="D13:M15">
    <cfRule type="expression" dxfId="34" priority="16" stopIfTrue="1">
      <formula>IF(AND(D$4&lt;=SampSize,$C13&lt;=NumTrials, NumAppraisers&gt;=2),1,0)</formula>
    </cfRule>
    <cfRule type="expression" dxfId="33" priority="17" stopIfTrue="1">
      <formula>IF(ISNUMBER(D13),1,0)</formula>
    </cfRule>
  </conditionalFormatting>
  <conditionalFormatting sqref="D16:M17">
    <cfRule type="expression" dxfId="32" priority="11" stopIfTrue="1">
      <formula>IF(AND(NumAppraisers&gt;=2,D$4&lt;=SampSize),1,0)</formula>
    </cfRule>
  </conditionalFormatting>
  <conditionalFormatting sqref="D20:M20">
    <cfRule type="expression" dxfId="31" priority="7" stopIfTrue="1">
      <formula>IF(AND(D$4&lt;=SampSize,NumAppraisers&gt;=3),1,0)</formula>
    </cfRule>
  </conditionalFormatting>
  <conditionalFormatting sqref="D21:M23">
    <cfRule type="expression" dxfId="30" priority="18" stopIfTrue="1">
      <formula>IF(AND(D$4&lt;=SampSize,$C21&lt;=NumTrials, NumAppraisers&gt;=3),1,0)</formula>
    </cfRule>
    <cfRule type="expression" dxfId="29" priority="19" stopIfTrue="1">
      <formula>IF(ISNUMBER(D21),1,0)</formula>
    </cfRule>
  </conditionalFormatting>
  <conditionalFormatting sqref="D24:M25">
    <cfRule type="expression" dxfId="28" priority="12" stopIfTrue="1">
      <formula>IF(AND(NumAppraisers&gt;=3,D$4&lt;=SampSize),1,0)</formula>
    </cfRule>
  </conditionalFormatting>
  <conditionalFormatting sqref="D27:M27">
    <cfRule type="expression" dxfId="27" priority="13" stopIfTrue="1">
      <formula>IF(D$4&lt;=SampSize,1,0)</formula>
    </cfRule>
  </conditionalFormatting>
  <conditionalFormatting sqref="N5:N7">
    <cfRule type="expression" dxfId="26" priority="5" stopIfTrue="1">
      <formula>IF(AND(NumAppraisers&gt;=1,$C5&lt;=NumTrials),1,0)</formula>
    </cfRule>
  </conditionalFormatting>
  <conditionalFormatting sqref="N13:N15">
    <cfRule type="expression" dxfId="25" priority="4" stopIfTrue="1">
      <formula>IF(AND(NumAppraisers&gt;=2,$C13&lt;=NumTrials),1,0)</formula>
    </cfRule>
  </conditionalFormatting>
  <conditionalFormatting sqref="N21:N23">
    <cfRule type="expression" dxfId="24" priority="9" stopIfTrue="1">
      <formula>IF(AND(NumAppraisers&gt;=3,$C21&lt;=NumTrials),1,0)</formula>
    </cfRule>
  </conditionalFormatting>
  <conditionalFormatting sqref="O8">
    <cfRule type="expression" dxfId="23" priority="23" stopIfTrue="1">
      <formula>IF(NumAppraisers&gt;=1,1,0)</formula>
    </cfRule>
  </conditionalFormatting>
  <conditionalFormatting sqref="O9">
    <cfRule type="expression" dxfId="22" priority="24" stopIfTrue="1">
      <formula>IF(NumAppraisers&gt;=1,1,0)</formula>
    </cfRule>
  </conditionalFormatting>
  <conditionalFormatting sqref="O16">
    <cfRule type="expression" dxfId="21" priority="21" stopIfTrue="1">
      <formula>IF(NumAppraisers&gt;=2,1,0)</formula>
    </cfRule>
  </conditionalFormatting>
  <conditionalFormatting sqref="O17">
    <cfRule type="expression" dxfId="20" priority="22" stopIfTrue="1">
      <formula>IF(NumAppraisers&gt;=2,1,0)</formula>
    </cfRule>
  </conditionalFormatting>
  <conditionalFormatting sqref="O24:O25">
    <cfRule type="expression" dxfId="19" priority="20" stopIfTrue="1">
      <formula>IF(NumAppraisers=3,1,0)</formula>
    </cfRule>
  </conditionalFormatting>
  <hyperlinks>
    <hyperlink ref="C30" location="ResultsHome" display="Next step: View Results" xr:uid="{00000000-0004-0000-0100-000000000000}"/>
    <hyperlink ref="C30:E30" location="Results!A1" display="Next step: View Results" xr:uid="{00000000-0004-0000-0100-000001000000}"/>
    <hyperlink ref="C29:D29" location="Setup!A1" display="Previous step: Setup" xr:uid="{00000000-0004-0000-0100-000002000000}"/>
  </hyperlinks>
  <pageMargins left="0.75" right="0.75" top="1" bottom="1" header="0.5" footer="0.5"/>
  <pageSetup scale="72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46"/>
  <sheetViews>
    <sheetView workbookViewId="0">
      <selection activeCell="F19" sqref="F19"/>
    </sheetView>
  </sheetViews>
  <sheetFormatPr defaultRowHeight="12.5" x14ac:dyDescent="0.25"/>
  <cols>
    <col min="1" max="1" width="12" customWidth="1"/>
  </cols>
  <sheetData>
    <row r="1" spans="1:15" x14ac:dyDescent="0.25">
      <c r="A1" t="s">
        <v>215</v>
      </c>
      <c r="C1" t="s">
        <v>139</v>
      </c>
      <c r="D1" t="s">
        <v>75</v>
      </c>
      <c r="E1" t="s">
        <v>140</v>
      </c>
      <c r="F1" t="s">
        <v>141</v>
      </c>
      <c r="G1" t="s">
        <v>77</v>
      </c>
      <c r="H1" t="s">
        <v>76</v>
      </c>
      <c r="I1" t="s">
        <v>136</v>
      </c>
      <c r="K1" t="s">
        <v>78</v>
      </c>
      <c r="L1" t="s">
        <v>77</v>
      </c>
      <c r="M1" t="s">
        <v>76</v>
      </c>
      <c r="N1" t="s">
        <v>137</v>
      </c>
      <c r="O1" t="s">
        <v>138</v>
      </c>
    </row>
    <row r="2" spans="1:15" x14ac:dyDescent="0.25">
      <c r="A2" t="s">
        <v>216</v>
      </c>
      <c r="C2" t="str">
        <f>AppA</f>
        <v>Ramu K</v>
      </c>
      <c r="D2">
        <f>XBarA</f>
        <v>205.45500000000001</v>
      </c>
      <c r="E2">
        <f ca="1">XDblBar</f>
        <v>205.4628888888889</v>
      </c>
      <c r="F2" s="138">
        <f>RDblBar</f>
        <v>0.52800000000000302</v>
      </c>
      <c r="G2" s="138">
        <f ca="1">E2-F2*ANOMEfactor</f>
        <v>205.36151288888891</v>
      </c>
      <c r="H2" s="138">
        <f ca="1">E2+F2*ANOMEfactor</f>
        <v>205.56426488888889</v>
      </c>
      <c r="I2">
        <f>ANOMEfactor</f>
        <v>0.192</v>
      </c>
      <c r="K2">
        <f>RBarA</f>
        <v>0.58000000000000396</v>
      </c>
      <c r="L2" s="138">
        <f>F2*N2</f>
        <v>0.35323200000000204</v>
      </c>
      <c r="M2" s="138">
        <f>F2*O2</f>
        <v>0.69432000000000393</v>
      </c>
      <c r="N2">
        <f>LMR</f>
        <v>0.66900000000000004</v>
      </c>
      <c r="O2">
        <f>UMR</f>
        <v>1.3149999999999999</v>
      </c>
    </row>
    <row r="3" spans="1:15" x14ac:dyDescent="0.25">
      <c r="A3" t="s">
        <v>217</v>
      </c>
      <c r="C3" t="str">
        <f>AppB</f>
        <v>Tapan V</v>
      </c>
      <c r="D3">
        <f>XBarB</f>
        <v>205.45766666666665</v>
      </c>
      <c r="E3">
        <f ca="1">XDblBar</f>
        <v>205.4628888888889</v>
      </c>
      <c r="F3" s="138">
        <f>RDblBar</f>
        <v>0.52800000000000302</v>
      </c>
      <c r="G3" s="138">
        <f ca="1">E3-F3*ANOMEfactor</f>
        <v>205.36151288888891</v>
      </c>
      <c r="H3" s="138">
        <f ca="1">E3+F3*ANOMEfactor</f>
        <v>205.56426488888889</v>
      </c>
      <c r="K3">
        <f>RBarB</f>
        <v>0.52000000000000457</v>
      </c>
      <c r="L3" s="138">
        <f>F3*N3</f>
        <v>0.35323200000000204</v>
      </c>
      <c r="M3" s="138">
        <f>F3*O3</f>
        <v>0.69432000000000393</v>
      </c>
      <c r="N3">
        <f>LMR</f>
        <v>0.66900000000000004</v>
      </c>
      <c r="O3">
        <f>UMR</f>
        <v>1.3149999999999999</v>
      </c>
    </row>
    <row r="4" spans="1:15" x14ac:dyDescent="0.25">
      <c r="A4" t="s">
        <v>218</v>
      </c>
      <c r="C4" t="str">
        <f>AppC</f>
        <v>Montu R</v>
      </c>
      <c r="D4">
        <f>XBarC</f>
        <v>205.476</v>
      </c>
      <c r="E4">
        <f ca="1">XDblBar</f>
        <v>205.4628888888889</v>
      </c>
      <c r="F4" s="138">
        <f>RDblBar</f>
        <v>0.52800000000000302</v>
      </c>
      <c r="G4" s="138">
        <f ca="1">E4-F4*ANOMEfactor</f>
        <v>205.36151288888891</v>
      </c>
      <c r="H4" s="138">
        <f ca="1">E4+F4*ANOMEfactor</f>
        <v>205.56426488888889</v>
      </c>
      <c r="K4">
        <f>RBarC</f>
        <v>0.48400000000000032</v>
      </c>
      <c r="L4" s="138">
        <f>F4*N4</f>
        <v>0.35323200000000204</v>
      </c>
      <c r="M4" s="138">
        <f>F4*O4</f>
        <v>0.69432000000000393</v>
      </c>
      <c r="N4">
        <f>LMR</f>
        <v>0.66900000000000004</v>
      </c>
      <c r="O4">
        <f>UMR</f>
        <v>1.3149999999999999</v>
      </c>
    </row>
    <row r="6" spans="1:15" x14ac:dyDescent="0.25">
      <c r="A6" t="s">
        <v>170</v>
      </c>
    </row>
    <row r="7" spans="1:15" x14ac:dyDescent="0.25">
      <c r="A7" t="s">
        <v>167</v>
      </c>
    </row>
    <row r="8" spans="1:15" x14ac:dyDescent="0.25">
      <c r="A8" t="s">
        <v>166</v>
      </c>
    </row>
    <row r="10" spans="1:15" x14ac:dyDescent="0.25">
      <c r="A10" s="53" t="s">
        <v>242</v>
      </c>
    </row>
    <row r="11" spans="1:15" x14ac:dyDescent="0.25">
      <c r="A11" s="53" t="s">
        <v>243</v>
      </c>
    </row>
    <row r="12" spans="1:15" x14ac:dyDescent="0.25">
      <c r="A12" s="53" t="s">
        <v>244</v>
      </c>
    </row>
    <row r="13" spans="1:15" x14ac:dyDescent="0.25">
      <c r="A13" s="53" t="s">
        <v>245</v>
      </c>
    </row>
    <row r="14" spans="1:15" x14ac:dyDescent="0.25">
      <c r="A14" s="53" t="s">
        <v>246</v>
      </c>
    </row>
    <row r="15" spans="1:15" x14ac:dyDescent="0.25">
      <c r="A15" s="53" t="s">
        <v>247</v>
      </c>
    </row>
    <row r="16" spans="1:15" x14ac:dyDescent="0.25">
      <c r="A16" s="53" t="s">
        <v>248</v>
      </c>
    </row>
    <row r="17" spans="1:1" x14ac:dyDescent="0.25">
      <c r="A17" s="53" t="s">
        <v>249</v>
      </c>
    </row>
    <row r="19" spans="1:1" x14ac:dyDescent="0.25">
      <c r="A19" s="53" t="s">
        <v>246</v>
      </c>
    </row>
    <row r="20" spans="1:1" x14ac:dyDescent="0.25">
      <c r="A20" s="53" t="s">
        <v>250</v>
      </c>
    </row>
    <row r="21" spans="1:1" x14ac:dyDescent="0.25">
      <c r="A21" s="53" t="s">
        <v>251</v>
      </c>
    </row>
    <row r="22" spans="1:1" x14ac:dyDescent="0.25">
      <c r="A22" s="53" t="s">
        <v>252</v>
      </c>
    </row>
    <row r="25" spans="1:1" x14ac:dyDescent="0.25">
      <c r="A25" t="s">
        <v>186</v>
      </c>
    </row>
    <row r="26" spans="1:1" x14ac:dyDescent="0.25">
      <c r="A26" s="53" t="s">
        <v>253</v>
      </c>
    </row>
    <row r="27" spans="1:1" x14ac:dyDescent="0.25">
      <c r="A27" t="s">
        <v>184</v>
      </c>
    </row>
    <row r="28" spans="1:1" x14ac:dyDescent="0.25">
      <c r="A28" t="s">
        <v>185</v>
      </c>
    </row>
    <row r="30" spans="1:1" x14ac:dyDescent="0.25">
      <c r="A30" t="s">
        <v>187</v>
      </c>
    </row>
    <row r="31" spans="1:1" x14ac:dyDescent="0.25">
      <c r="A31" s="53" t="s">
        <v>199</v>
      </c>
    </row>
    <row r="32" spans="1:1" x14ac:dyDescent="0.25">
      <c r="A32" t="s">
        <v>188</v>
      </c>
    </row>
    <row r="33" spans="1:1" x14ac:dyDescent="0.25">
      <c r="A33" t="s">
        <v>189</v>
      </c>
    </row>
    <row r="35" spans="1:1" x14ac:dyDescent="0.25">
      <c r="A35" t="s">
        <v>200</v>
      </c>
    </row>
    <row r="36" spans="1:1" x14ac:dyDescent="0.25">
      <c r="A36" t="s">
        <v>199</v>
      </c>
    </row>
    <row r="38" spans="1:1" x14ac:dyDescent="0.25">
      <c r="A38" s="53" t="s">
        <v>254</v>
      </c>
    </row>
    <row r="39" spans="1:1" x14ac:dyDescent="0.25">
      <c r="A39" s="53" t="s">
        <v>255</v>
      </c>
    </row>
    <row r="40" spans="1:1" x14ac:dyDescent="0.25">
      <c r="A40" s="53" t="s">
        <v>256</v>
      </c>
    </row>
    <row r="41" spans="1:1" x14ac:dyDescent="0.25">
      <c r="A41" s="53" t="s">
        <v>257</v>
      </c>
    </row>
    <row r="43" spans="1:1" x14ac:dyDescent="0.25">
      <c r="A43" s="53" t="s">
        <v>258</v>
      </c>
    </row>
    <row r="44" spans="1:1" x14ac:dyDescent="0.25">
      <c r="A44" s="53" t="s">
        <v>259</v>
      </c>
    </row>
    <row r="45" spans="1:1" x14ac:dyDescent="0.25">
      <c r="A45" s="53" t="s">
        <v>260</v>
      </c>
    </row>
    <row r="46" spans="1:1" x14ac:dyDescent="0.25">
      <c r="A46" s="53" t="s">
        <v>261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85"/>
  <sheetViews>
    <sheetView showGridLines="0" showRowColHeaders="0" view="pageBreakPreview" topLeftCell="A49" zoomScale="60" zoomScaleNormal="70" workbookViewId="0">
      <selection activeCell="AG81" sqref="AG81"/>
    </sheetView>
  </sheetViews>
  <sheetFormatPr defaultRowHeight="12.5" x14ac:dyDescent="0.25"/>
  <cols>
    <col min="1" max="3" width="1.81640625" customWidth="1"/>
    <col min="4" max="4" width="11.1796875" customWidth="1"/>
    <col min="5" max="5" width="10.1796875" customWidth="1"/>
    <col min="6" max="7" width="8.81640625" customWidth="1"/>
    <col min="8" max="9" width="3.54296875" customWidth="1"/>
    <col min="10" max="10" width="3.1796875" customWidth="1"/>
    <col min="11" max="12" width="8.81640625" customWidth="1"/>
    <col min="13" max="14" width="1.81640625" customWidth="1"/>
    <col min="15" max="16" width="9.54296875" customWidth="1"/>
    <col min="17" max="17" width="2.1796875" customWidth="1"/>
    <col min="18" max="18" width="1.81640625" customWidth="1"/>
    <col min="19" max="19" width="8.81640625" customWidth="1"/>
    <col min="20" max="20" width="9.453125" customWidth="1"/>
    <col min="21" max="22" width="1.81640625" customWidth="1"/>
    <col min="23" max="23" width="2.453125" style="146" customWidth="1"/>
    <col min="24" max="24" width="7.453125" style="146" customWidth="1"/>
    <col min="25" max="25" width="4.453125" hidden="1" customWidth="1"/>
    <col min="26" max="26" width="2.54296875" hidden="1" customWidth="1"/>
    <col min="27" max="27" width="0.81640625" customWidth="1"/>
    <col min="28" max="28" width="8.81640625" customWidth="1"/>
    <col min="30" max="31" width="0.81640625" customWidth="1"/>
  </cols>
  <sheetData>
    <row r="1" spans="1:22" ht="18.5" thickBot="1" x14ac:dyDescent="0.45">
      <c r="A1" s="88"/>
      <c r="B1" s="339" t="e" vm="2">
        <v>#VALUE!</v>
      </c>
      <c r="C1" s="349"/>
      <c r="D1" s="340"/>
      <c r="E1" s="332" t="s">
        <v>236</v>
      </c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4"/>
    </row>
    <row r="2" spans="1:22" x14ac:dyDescent="0.25">
      <c r="B2" s="296" t="s">
        <v>169</v>
      </c>
      <c r="C2" s="297"/>
      <c r="D2" s="297"/>
      <c r="E2" s="297"/>
      <c r="F2" s="297"/>
      <c r="G2" s="296" t="s">
        <v>171</v>
      </c>
      <c r="H2" s="297"/>
      <c r="I2" s="297"/>
      <c r="J2" s="297"/>
      <c r="K2" s="297"/>
      <c r="L2" s="297"/>
      <c r="M2" s="297"/>
      <c r="N2" s="297"/>
      <c r="O2" s="297"/>
      <c r="P2" s="298" t="s">
        <v>133</v>
      </c>
      <c r="Q2" s="298"/>
      <c r="R2" s="298"/>
      <c r="S2" s="298"/>
      <c r="T2" s="298"/>
    </row>
    <row r="3" spans="1:22" ht="12.75" customHeight="1" x14ac:dyDescent="0.25">
      <c r="B3" s="37"/>
      <c r="C3" s="47"/>
      <c r="D3" s="47"/>
      <c r="E3" s="47"/>
      <c r="F3" s="47"/>
      <c r="G3" s="47"/>
      <c r="H3" s="47"/>
      <c r="I3" s="47"/>
      <c r="J3" s="47"/>
      <c r="K3" s="293" t="s">
        <v>50</v>
      </c>
      <c r="L3" s="293"/>
      <c r="M3" s="47"/>
      <c r="N3" s="47"/>
      <c r="O3" s="293" t="s">
        <v>51</v>
      </c>
      <c r="P3" s="293"/>
      <c r="Q3" s="293"/>
      <c r="R3" s="293"/>
      <c r="S3" s="293"/>
      <c r="T3" s="293"/>
      <c r="U3" s="293"/>
      <c r="V3" s="48"/>
    </row>
    <row r="4" spans="1:22" ht="13" x14ac:dyDescent="0.3">
      <c r="B4" s="45"/>
      <c r="G4" s="189" t="s">
        <v>233</v>
      </c>
      <c r="K4" s="295"/>
      <c r="L4" s="295"/>
      <c r="O4" s="294"/>
      <c r="P4" s="294"/>
      <c r="Q4" s="294"/>
      <c r="R4" s="294"/>
      <c r="S4" s="294"/>
      <c r="T4" s="294"/>
      <c r="U4" s="294"/>
      <c r="V4" s="49"/>
    </row>
    <row r="5" spans="1:22" ht="13" x14ac:dyDescent="0.3">
      <c r="B5" s="45"/>
      <c r="C5" s="107"/>
      <c r="K5" s="237" t="s">
        <v>234</v>
      </c>
      <c r="L5" s="237"/>
      <c r="M5" s="110"/>
      <c r="O5" s="237" t="s">
        <v>234</v>
      </c>
      <c r="P5" s="237"/>
      <c r="S5" s="237" t="s">
        <v>116</v>
      </c>
      <c r="T5" s="237"/>
      <c r="V5" s="49"/>
    </row>
    <row r="6" spans="1:22" ht="13" x14ac:dyDescent="0.3">
      <c r="B6" s="45"/>
      <c r="C6" s="37"/>
      <c r="D6" s="108" t="s">
        <v>41</v>
      </c>
      <c r="E6" s="47"/>
      <c r="F6" s="47"/>
      <c r="G6" s="47"/>
      <c r="H6" s="47"/>
      <c r="I6" s="47"/>
      <c r="J6" s="47"/>
      <c r="K6" s="237"/>
      <c r="L6" s="237"/>
      <c r="M6" s="48"/>
      <c r="N6" s="47"/>
      <c r="O6" s="237"/>
      <c r="P6" s="237"/>
      <c r="Q6" s="47"/>
      <c r="R6" s="47"/>
      <c r="S6" s="237"/>
      <c r="T6" s="237"/>
      <c r="U6" s="48"/>
      <c r="V6" s="49"/>
    </row>
    <row r="7" spans="1:22" ht="16" x14ac:dyDescent="0.4">
      <c r="B7" s="45"/>
      <c r="C7" s="45"/>
      <c r="D7" s="43" t="s">
        <v>83</v>
      </c>
      <c r="E7" s="77" t="s">
        <v>225</v>
      </c>
      <c r="F7" s="46"/>
      <c r="G7" s="78"/>
      <c r="K7" s="43" t="s">
        <v>118</v>
      </c>
      <c r="L7" s="44" t="s">
        <v>122</v>
      </c>
      <c r="M7" s="49"/>
      <c r="O7" s="60" t="s">
        <v>63</v>
      </c>
      <c r="P7" s="44" t="s">
        <v>67</v>
      </c>
      <c r="S7" s="60" t="s">
        <v>63</v>
      </c>
      <c r="T7" s="44" t="s">
        <v>79</v>
      </c>
      <c r="U7" s="49"/>
      <c r="V7" s="49"/>
    </row>
    <row r="8" spans="1:22" ht="13" x14ac:dyDescent="0.3">
      <c r="B8" s="45"/>
      <c r="C8" s="45"/>
      <c r="D8" s="43" t="s">
        <v>83</v>
      </c>
      <c r="E8" s="39">
        <f>RDblBar/d2starEV</f>
        <v>0.31187241582988956</v>
      </c>
      <c r="F8" s="40" t="str">
        <f>IF(Units="","",Units)</f>
        <v>mm</v>
      </c>
      <c r="G8" s="45"/>
      <c r="K8" s="43" t="s">
        <v>118</v>
      </c>
      <c r="L8" s="59">
        <f ca="1">IF(ISERROR(EV^2/TV^2),"",EV^2/TV^2)</f>
        <v>0.92234000036860975</v>
      </c>
      <c r="M8" s="49"/>
      <c r="O8" s="60" t="s">
        <v>63</v>
      </c>
      <c r="P8" s="59">
        <f ca="1">IF(ISERROR(EV/TV),"",EV/TV)</f>
        <v>0.96038533952190763</v>
      </c>
      <c r="S8" s="60" t="s">
        <v>63</v>
      </c>
      <c r="T8" s="59">
        <f>IF(Tolerance&gt;0,6*EV/Tolerance,NA())</f>
        <v>1.8712344949793374</v>
      </c>
      <c r="U8" s="49"/>
      <c r="V8" s="49"/>
    </row>
    <row r="9" spans="1:22" x14ac:dyDescent="0.25">
      <c r="B9" s="45"/>
      <c r="C9" s="50"/>
      <c r="D9" s="51"/>
      <c r="E9" s="51"/>
      <c r="F9" s="51"/>
      <c r="G9" s="51"/>
      <c r="H9" s="51"/>
      <c r="I9" s="51"/>
      <c r="J9" s="51"/>
      <c r="K9" s="51"/>
      <c r="L9" s="51"/>
      <c r="M9" s="14"/>
      <c r="N9" s="51"/>
      <c r="O9" s="51"/>
      <c r="P9" s="51"/>
      <c r="Q9" s="51"/>
      <c r="R9" s="51"/>
      <c r="S9" s="51"/>
      <c r="T9" s="51"/>
      <c r="U9" s="14"/>
      <c r="V9" s="49"/>
    </row>
    <row r="10" spans="1:22" x14ac:dyDescent="0.25">
      <c r="B10" s="45"/>
      <c r="V10" s="49"/>
    </row>
    <row r="11" spans="1:22" ht="13" x14ac:dyDescent="0.3">
      <c r="B11" s="45"/>
      <c r="C11" s="37"/>
      <c r="D11" s="108" t="s">
        <v>43</v>
      </c>
      <c r="E11" s="47"/>
      <c r="F11" s="47"/>
      <c r="G11" s="47"/>
      <c r="H11" s="47"/>
      <c r="I11" s="47"/>
      <c r="J11" s="47"/>
      <c r="K11" s="237"/>
      <c r="L11" s="237"/>
      <c r="M11" s="48"/>
      <c r="N11" s="47"/>
      <c r="O11" s="237"/>
      <c r="P11" s="237"/>
      <c r="Q11" s="47"/>
      <c r="R11" s="47"/>
      <c r="S11" s="237"/>
      <c r="T11" s="237"/>
      <c r="U11" s="48"/>
      <c r="V11" s="49"/>
    </row>
    <row r="12" spans="1:22" ht="16" x14ac:dyDescent="0.4">
      <c r="B12" s="45"/>
      <c r="C12" s="45"/>
      <c r="D12" s="43" t="s">
        <v>84</v>
      </c>
      <c r="E12" s="77" t="s">
        <v>226</v>
      </c>
      <c r="F12" s="46"/>
      <c r="G12" s="44"/>
      <c r="K12" s="43" t="s">
        <v>121</v>
      </c>
      <c r="L12" s="44" t="s">
        <v>123</v>
      </c>
      <c r="M12" s="49"/>
      <c r="O12" s="60" t="s">
        <v>64</v>
      </c>
      <c r="P12" s="44" t="s">
        <v>68</v>
      </c>
      <c r="S12" s="60" t="s">
        <v>64</v>
      </c>
      <c r="T12" s="44" t="s">
        <v>80</v>
      </c>
      <c r="U12" s="49"/>
      <c r="V12" s="49"/>
    </row>
    <row r="13" spans="1:22" ht="13" x14ac:dyDescent="0.3">
      <c r="B13" s="45"/>
      <c r="C13" s="45"/>
      <c r="D13" s="43" t="s">
        <v>84</v>
      </c>
      <c r="E13" s="39">
        <f>IF((RangeOps/d2starAV)^2&lt;=EV^2/(NumTrials*SampSize),0,SQRT((RangeOps/d2starAV)^2-EV^2/(NumTrials*SampSize)))</f>
        <v>0</v>
      </c>
      <c r="F13" s="39" t="str">
        <f>IF(Units="","",Units)</f>
        <v>mm</v>
      </c>
      <c r="G13" s="40"/>
      <c r="K13" s="43" t="s">
        <v>121</v>
      </c>
      <c r="L13" s="59">
        <f ca="1">IF(ISERROR(AV^2/TV^2),"",AV^2/TV^2)</f>
        <v>0</v>
      </c>
      <c r="M13" s="49"/>
      <c r="O13" s="60" t="s">
        <v>64</v>
      </c>
      <c r="P13" s="59">
        <f ca="1">IF(ISERROR(AV/TV),"",AV/TV)</f>
        <v>0</v>
      </c>
      <c r="S13" s="60" t="s">
        <v>64</v>
      </c>
      <c r="T13" s="59">
        <f>IF(Tolerance&gt;0,6*AV/Tolerance,NA())</f>
        <v>0</v>
      </c>
      <c r="U13" s="49"/>
      <c r="V13" s="49"/>
    </row>
    <row r="14" spans="1:22" x14ac:dyDescent="0.25">
      <c r="B14" s="45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14"/>
      <c r="N14" s="51"/>
      <c r="O14" s="51"/>
      <c r="P14" s="51"/>
      <c r="Q14" s="51"/>
      <c r="R14" s="51"/>
      <c r="S14" s="51"/>
      <c r="T14" s="51"/>
      <c r="U14" s="14"/>
      <c r="V14" s="49"/>
    </row>
    <row r="15" spans="1:22" x14ac:dyDescent="0.25">
      <c r="B15" s="45"/>
      <c r="V15" s="49"/>
    </row>
    <row r="16" spans="1:22" ht="13" x14ac:dyDescent="0.3">
      <c r="B16" s="45"/>
      <c r="C16" s="37"/>
      <c r="D16" s="108" t="s">
        <v>47</v>
      </c>
      <c r="E16" s="47"/>
      <c r="F16" s="47"/>
      <c r="G16" s="47"/>
      <c r="H16" s="47"/>
      <c r="I16" s="47"/>
      <c r="J16" s="47"/>
      <c r="K16" s="47"/>
      <c r="L16" s="47"/>
      <c r="M16" s="48"/>
      <c r="N16" s="47"/>
      <c r="O16" s="237"/>
      <c r="P16" s="237"/>
      <c r="Q16" s="47"/>
      <c r="R16" s="47"/>
      <c r="S16" s="237"/>
      <c r="T16" s="237"/>
      <c r="U16" s="48"/>
      <c r="V16" s="49"/>
    </row>
    <row r="17" spans="2:26" ht="15" x14ac:dyDescent="0.3">
      <c r="B17" s="45"/>
      <c r="C17" s="45"/>
      <c r="D17" s="43" t="s">
        <v>85</v>
      </c>
      <c r="E17" s="77" t="s">
        <v>87</v>
      </c>
      <c r="F17" s="44"/>
      <c r="G17" s="79"/>
      <c r="K17" s="43" t="s">
        <v>120</v>
      </c>
      <c r="L17" s="44" t="s">
        <v>124</v>
      </c>
      <c r="M17" s="49"/>
      <c r="O17" s="60" t="s">
        <v>65</v>
      </c>
      <c r="P17" s="44" t="s">
        <v>69</v>
      </c>
      <c r="S17" s="60" t="s">
        <v>65</v>
      </c>
      <c r="T17" s="44" t="s">
        <v>81</v>
      </c>
      <c r="U17" s="49"/>
      <c r="V17" s="49"/>
    </row>
    <row r="18" spans="2:26" ht="13" x14ac:dyDescent="0.3">
      <c r="B18" s="45"/>
      <c r="C18" s="45"/>
      <c r="D18" s="43" t="s">
        <v>85</v>
      </c>
      <c r="E18" s="39">
        <f>SQRT(EV^2+AV^2)</f>
        <v>0.31187241582988956</v>
      </c>
      <c r="F18" s="40" t="str">
        <f>IF(Units="","",Units)</f>
        <v>mm</v>
      </c>
      <c r="G18" s="45"/>
      <c r="K18" s="43" t="s">
        <v>120</v>
      </c>
      <c r="L18" s="59">
        <f ca="1">IF(ISERROR(GRR^2/TV^2),"",GRR^2/TV^2)</f>
        <v>0.92234000036860975</v>
      </c>
      <c r="M18" s="49"/>
      <c r="O18" s="60" t="s">
        <v>65</v>
      </c>
      <c r="P18" s="59">
        <f ca="1">IF(ISERROR(GRR/TV),"",GRR/TV)</f>
        <v>0.96038533952190763</v>
      </c>
      <c r="S18" s="60" t="s">
        <v>65</v>
      </c>
      <c r="T18" s="59">
        <f>IF(Tolerance&gt;0,6*GRR/Tolerance,NA())</f>
        <v>1.8712344949793374</v>
      </c>
      <c r="U18" s="49"/>
      <c r="V18" s="49"/>
    </row>
    <row r="19" spans="2:26" x14ac:dyDescent="0.25">
      <c r="B19" s="45"/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14"/>
      <c r="N19" s="51"/>
      <c r="O19" s="51"/>
      <c r="P19" s="51"/>
      <c r="Q19" s="51"/>
      <c r="R19" s="51"/>
      <c r="S19" s="51"/>
      <c r="T19" s="51"/>
      <c r="U19" s="14"/>
      <c r="V19" s="49"/>
    </row>
    <row r="20" spans="2:26" x14ac:dyDescent="0.25">
      <c r="B20" s="45"/>
      <c r="V20" s="49"/>
    </row>
    <row r="21" spans="2:26" ht="13" x14ac:dyDescent="0.3">
      <c r="B21" s="45"/>
      <c r="C21" s="37"/>
      <c r="D21" s="108" t="s">
        <v>48</v>
      </c>
      <c r="E21" s="47"/>
      <c r="F21" s="47"/>
      <c r="G21" s="47"/>
      <c r="H21" s="47"/>
      <c r="I21" s="47"/>
      <c r="J21" s="47"/>
      <c r="K21" s="47"/>
      <c r="L21" s="47"/>
      <c r="M21" s="48"/>
      <c r="N21" s="47"/>
      <c r="O21" s="237"/>
      <c r="P21" s="237"/>
      <c r="Q21" s="47"/>
      <c r="R21" s="47"/>
      <c r="S21" s="237"/>
      <c r="T21" s="237"/>
      <c r="U21" s="48"/>
      <c r="V21" s="49"/>
    </row>
    <row r="22" spans="2:26" ht="16" x14ac:dyDescent="0.4">
      <c r="B22" s="45"/>
      <c r="C22" s="45"/>
      <c r="D22" s="43" t="s">
        <v>73</v>
      </c>
      <c r="E22" s="46" t="s">
        <v>227</v>
      </c>
      <c r="F22" s="58"/>
      <c r="G22" s="78"/>
      <c r="K22" s="43" t="s">
        <v>119</v>
      </c>
      <c r="L22" s="44" t="s">
        <v>125</v>
      </c>
      <c r="M22" s="49"/>
      <c r="O22" s="60" t="s">
        <v>66</v>
      </c>
      <c r="P22" s="44" t="s">
        <v>70</v>
      </c>
      <c r="S22" s="60" t="s">
        <v>66</v>
      </c>
      <c r="T22" s="44" t="s">
        <v>82</v>
      </c>
      <c r="U22" s="49"/>
      <c r="V22" s="49"/>
    </row>
    <row r="23" spans="2:26" ht="13" x14ac:dyDescent="0.3">
      <c r="B23" s="45"/>
      <c r="C23" s="45"/>
      <c r="D23" s="43" t="s">
        <v>73</v>
      </c>
      <c r="E23" s="39">
        <f ca="1">RangeParts/d2starPV</f>
        <v>9.0496156533887526E-2</v>
      </c>
      <c r="F23" s="40" t="str">
        <f>IF(Units="","",Units)</f>
        <v>mm</v>
      </c>
      <c r="K23" s="43" t="s">
        <v>119</v>
      </c>
      <c r="L23" s="59">
        <f ca="1">IF(ISERROR(PV^2/TV^2),"",PV^2/TV^2)</f>
        <v>7.7659999631390281E-2</v>
      </c>
      <c r="M23" s="49"/>
      <c r="O23" s="60" t="s">
        <v>66</v>
      </c>
      <c r="P23" s="59">
        <f ca="1">IF(ISERROR(PV/TV),"",PV/TV)</f>
        <v>0.27867543779707299</v>
      </c>
      <c r="S23" s="60" t="s">
        <v>66</v>
      </c>
      <c r="T23" s="59">
        <f ca="1">IF(Tolerance&gt;0,6*PV/Tolerance,NA())</f>
        <v>0.54297693920332513</v>
      </c>
      <c r="U23" s="49"/>
      <c r="V23" s="49"/>
    </row>
    <row r="24" spans="2:26" x14ac:dyDescent="0.25">
      <c r="B24" s="45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14"/>
      <c r="N24" s="51"/>
      <c r="O24" s="51"/>
      <c r="P24" s="51"/>
      <c r="Q24" s="51"/>
      <c r="R24" s="51"/>
      <c r="S24" s="51"/>
      <c r="T24" s="51"/>
      <c r="U24" s="14"/>
      <c r="V24" s="49"/>
    </row>
    <row r="25" spans="2:26" ht="13" x14ac:dyDescent="0.3">
      <c r="B25" s="45"/>
      <c r="K25" s="241" t="s">
        <v>117</v>
      </c>
      <c r="L25" s="242"/>
      <c r="M25" s="79"/>
      <c r="O25" s="241" t="s">
        <v>132</v>
      </c>
      <c r="P25" s="242"/>
      <c r="V25" s="49"/>
    </row>
    <row r="26" spans="2:26" x14ac:dyDescent="0.25">
      <c r="B26" s="45"/>
      <c r="C26" s="37"/>
      <c r="D26" s="108" t="s">
        <v>112</v>
      </c>
      <c r="E26" s="47"/>
      <c r="F26" s="47"/>
      <c r="G26" s="48"/>
      <c r="V26" s="49"/>
    </row>
    <row r="27" spans="2:26" ht="15" x14ac:dyDescent="0.3">
      <c r="B27" s="45"/>
      <c r="C27" s="45"/>
      <c r="D27" s="43" t="s">
        <v>86</v>
      </c>
      <c r="E27" s="57" t="s">
        <v>88</v>
      </c>
      <c r="F27" s="10"/>
      <c r="G27" s="106"/>
      <c r="K27" s="299" t="s">
        <v>196</v>
      </c>
      <c r="L27" s="299"/>
      <c r="P27" s="299" t="s">
        <v>197</v>
      </c>
      <c r="Q27" s="299"/>
      <c r="R27" s="299"/>
      <c r="S27" s="300"/>
      <c r="T27" s="190"/>
      <c r="V27" s="49"/>
    </row>
    <row r="28" spans="2:26" ht="13" x14ac:dyDescent="0.3">
      <c r="B28" s="45"/>
      <c r="C28" s="45"/>
      <c r="D28" s="43" t="s">
        <v>86</v>
      </c>
      <c r="E28" s="39">
        <f ca="1">SQRT(EV^2+AV^2+PV^2)</f>
        <v>0.32473675200533958</v>
      </c>
      <c r="F28" s="40" t="str">
        <f>IF(Units="","",Units)</f>
        <v>mm</v>
      </c>
      <c r="G28" s="49"/>
      <c r="K28" s="299"/>
      <c r="L28" s="299"/>
      <c r="O28" s="190"/>
      <c r="P28" s="300"/>
      <c r="Q28" s="300"/>
      <c r="R28" s="300"/>
      <c r="S28" s="300"/>
      <c r="T28" s="190"/>
      <c r="V28" s="49"/>
    </row>
    <row r="29" spans="2:26" ht="13" x14ac:dyDescent="0.3">
      <c r="B29" s="45"/>
      <c r="C29" s="50"/>
      <c r="D29" s="51"/>
      <c r="E29" s="51"/>
      <c r="F29" s="51"/>
      <c r="G29" s="14"/>
      <c r="J29" s="239" t="s">
        <v>183</v>
      </c>
      <c r="K29" s="239"/>
      <c r="L29" s="239"/>
      <c r="M29" s="239"/>
      <c r="P29" s="239" t="s">
        <v>51</v>
      </c>
      <c r="Q29" s="239"/>
      <c r="R29" s="239"/>
      <c r="S29" s="239"/>
      <c r="V29" s="49"/>
    </row>
    <row r="30" spans="2:26" ht="13" x14ac:dyDescent="0.3">
      <c r="B30" s="50"/>
      <c r="C30" s="169"/>
      <c r="D30" s="169"/>
      <c r="E30" s="169"/>
      <c r="F30" s="169"/>
      <c r="G30" s="169"/>
      <c r="H30" s="169"/>
      <c r="I30" s="169"/>
      <c r="J30" s="263" t="s">
        <v>182</v>
      </c>
      <c r="K30" s="263"/>
      <c r="L30" s="263"/>
      <c r="M30" s="169"/>
      <c r="N30" s="169"/>
      <c r="O30" s="169"/>
      <c r="P30" s="169"/>
      <c r="Q30" s="169"/>
      <c r="R30" s="169"/>
      <c r="S30" s="169"/>
      <c r="T30" s="169"/>
      <c r="U30" s="169"/>
      <c r="V30" s="14"/>
    </row>
    <row r="31" spans="2:26" ht="6" customHeight="1" x14ac:dyDescent="0.3"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87"/>
      <c r="X31" s="187"/>
      <c r="Y31" s="105"/>
      <c r="Z31" s="2"/>
    </row>
    <row r="32" spans="2:26" ht="15" customHeight="1" x14ac:dyDescent="0.35">
      <c r="B32" s="205" t="s">
        <v>195</v>
      </c>
      <c r="C32" s="158"/>
      <c r="D32" s="158"/>
      <c r="E32" s="158"/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60"/>
      <c r="S32" s="105"/>
      <c r="T32" s="105"/>
      <c r="U32" s="105"/>
      <c r="V32" s="105"/>
      <c r="W32" s="187"/>
      <c r="X32" s="187"/>
      <c r="Y32" s="105"/>
      <c r="Z32" s="2"/>
    </row>
    <row r="33" spans="2:26" ht="12.75" customHeight="1" x14ac:dyDescent="0.3">
      <c r="B33" s="161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62"/>
      <c r="S33" s="105"/>
      <c r="T33" s="105"/>
      <c r="U33" s="105"/>
      <c r="V33" s="105"/>
      <c r="W33" s="187"/>
      <c r="X33" s="187"/>
      <c r="Y33" s="105"/>
      <c r="Z33" s="2"/>
    </row>
    <row r="34" spans="2:26" ht="12.75" customHeight="1" x14ac:dyDescent="0.3">
      <c r="B34" s="194"/>
      <c r="C34" s="203" t="s">
        <v>206</v>
      </c>
      <c r="D34" s="196"/>
      <c r="E34" s="196"/>
      <c r="F34" s="196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199"/>
      <c r="S34" s="105"/>
      <c r="T34" s="105"/>
      <c r="U34" s="105"/>
      <c r="V34" s="105"/>
      <c r="W34" s="187"/>
      <c r="X34" s="187"/>
      <c r="Y34" s="105"/>
      <c r="Z34" s="2"/>
    </row>
    <row r="35" spans="2:26" ht="12.75" customHeight="1" x14ac:dyDescent="0.3">
      <c r="B35" s="163"/>
      <c r="C35" s="283" t="s">
        <v>127</v>
      </c>
      <c r="D35" s="283"/>
      <c r="E35" s="283"/>
      <c r="F35" s="283"/>
      <c r="G35" s="268" t="s">
        <v>131</v>
      </c>
      <c r="H35" s="268"/>
      <c r="I35" s="144"/>
      <c r="J35" s="144"/>
      <c r="K35" s="52" t="s">
        <v>128</v>
      </c>
      <c r="L35" s="52"/>
      <c r="M35" s="52"/>
      <c r="N35" s="52"/>
      <c r="O35" s="52"/>
      <c r="P35" s="52"/>
      <c r="Q35" s="52"/>
      <c r="R35" s="162"/>
      <c r="S35" s="172"/>
      <c r="T35" s="172"/>
      <c r="U35" s="172"/>
      <c r="V35" s="172"/>
      <c r="W35" s="187"/>
      <c r="X35" s="187"/>
      <c r="Y35" s="105"/>
      <c r="Z35" s="2"/>
    </row>
    <row r="36" spans="2:26" ht="13" x14ac:dyDescent="0.3">
      <c r="B36" s="163"/>
      <c r="C36" s="261" t="s">
        <v>210</v>
      </c>
      <c r="D36" s="304"/>
      <c r="E36" s="304"/>
      <c r="F36" s="305"/>
      <c r="G36" s="164" t="str">
        <f ca="1">IF(L23&gt;=0.8,L23,"")</f>
        <v/>
      </c>
      <c r="K36" s="252" t="str">
        <f ca="1">IF(G36&lt;&gt;"",bts!A1, IF(G37&lt;&gt;"",bts!A2,IF(G38&lt;&gt;"",bts!A3,IF(G39&lt;&gt;"",bts!A4,""))))</f>
        <v>The measurement system is not acceptable for measurement and will not be able to quantify process improvement.</v>
      </c>
      <c r="L36" s="253"/>
      <c r="M36" s="253"/>
      <c r="N36" s="253"/>
      <c r="O36" s="253"/>
      <c r="P36" s="253"/>
      <c r="Q36" s="254"/>
      <c r="R36" s="165"/>
      <c r="S36" s="52"/>
      <c r="T36" s="2"/>
    </row>
    <row r="37" spans="2:26" ht="13" x14ac:dyDescent="0.3">
      <c r="B37" s="163"/>
      <c r="C37" s="271" t="s">
        <v>211</v>
      </c>
      <c r="D37" s="272"/>
      <c r="E37" s="272"/>
      <c r="F37" s="273"/>
      <c r="G37" s="164" t="str">
        <f ca="1">IF(AND(L23&gt;=0.5,L23&lt;0.8),L23,"")</f>
        <v/>
      </c>
      <c r="K37" s="255"/>
      <c r="L37" s="256"/>
      <c r="M37" s="256"/>
      <c r="N37" s="256"/>
      <c r="O37" s="256"/>
      <c r="P37" s="256"/>
      <c r="Q37" s="257"/>
      <c r="R37" s="165"/>
      <c r="S37" s="171"/>
      <c r="T37" s="171"/>
      <c r="U37" s="171"/>
      <c r="V37" s="171"/>
    </row>
    <row r="38" spans="2:26" ht="13" x14ac:dyDescent="0.3">
      <c r="B38" s="163"/>
      <c r="C38" s="274" t="s">
        <v>212</v>
      </c>
      <c r="D38" s="275"/>
      <c r="E38" s="275"/>
      <c r="F38" s="276"/>
      <c r="G38" s="164" t="str">
        <f ca="1">IF(AND(L23&gt;=0.2,L23&lt;0.5),L23,"")</f>
        <v/>
      </c>
      <c r="K38" s="255"/>
      <c r="L38" s="256"/>
      <c r="M38" s="256"/>
      <c r="N38" s="256"/>
      <c r="O38" s="256"/>
      <c r="P38" s="256"/>
      <c r="Q38" s="257"/>
      <c r="R38" s="165"/>
      <c r="S38" s="171"/>
      <c r="T38" s="171"/>
      <c r="U38" s="171"/>
      <c r="V38" s="171"/>
    </row>
    <row r="39" spans="2:26" ht="13" x14ac:dyDescent="0.3">
      <c r="B39" s="163"/>
      <c r="C39" s="277" t="s">
        <v>126</v>
      </c>
      <c r="D39" s="278"/>
      <c r="E39" s="278"/>
      <c r="F39" s="279"/>
      <c r="G39" s="164">
        <f ca="1">IF(L23&lt;0.2,L23,"")</f>
        <v>7.7659999631390281E-2</v>
      </c>
      <c r="K39" s="258"/>
      <c r="L39" s="259"/>
      <c r="M39" s="259"/>
      <c r="N39" s="259"/>
      <c r="O39" s="259"/>
      <c r="P39" s="259"/>
      <c r="Q39" s="260"/>
      <c r="R39" s="165"/>
      <c r="S39" s="171"/>
      <c r="T39" s="171"/>
      <c r="U39" s="171"/>
      <c r="V39" s="171"/>
    </row>
    <row r="40" spans="2:26" x14ac:dyDescent="0.25">
      <c r="B40" s="163"/>
      <c r="R40" s="165"/>
      <c r="S40" s="171"/>
      <c r="T40" s="171"/>
      <c r="U40" s="171"/>
      <c r="V40" s="171"/>
    </row>
    <row r="41" spans="2:26" ht="13" x14ac:dyDescent="0.3">
      <c r="B41" s="194"/>
      <c r="C41" s="195" t="s">
        <v>262</v>
      </c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7"/>
      <c r="S41" s="171"/>
      <c r="T41" s="171"/>
      <c r="U41" s="171"/>
      <c r="V41" s="171"/>
    </row>
    <row r="42" spans="2:26" ht="13" x14ac:dyDescent="0.3">
      <c r="B42" s="163"/>
      <c r="C42" s="282" t="s">
        <v>263</v>
      </c>
      <c r="D42" s="282"/>
      <c r="E42" s="156" t="s">
        <v>181</v>
      </c>
      <c r="K42" s="156" t="s">
        <v>128</v>
      </c>
      <c r="P42" s="264" t="s">
        <v>180</v>
      </c>
      <c r="Q42" s="264"/>
      <c r="R42" s="165"/>
      <c r="S42" s="146"/>
      <c r="W42"/>
      <c r="X42"/>
    </row>
    <row r="43" spans="2:26" ht="12.75" customHeight="1" x14ac:dyDescent="0.25">
      <c r="B43" s="163"/>
      <c r="C43" s="261">
        <v>0</v>
      </c>
      <c r="D43" s="262"/>
      <c r="E43" s="284" t="str">
        <f ca="1">IF(Y58=0,bts!A13,IF(Y58=1,bts!A15,IF(Y58=2,bts!A16,IF(Y58=3,bts!A17,""))))</f>
        <v>All appraisers averages are within the Bisas Chart control limits</v>
      </c>
      <c r="F43" s="285"/>
      <c r="G43" s="285"/>
      <c r="H43" s="285"/>
      <c r="I43" s="286"/>
      <c r="K43" s="243" t="str">
        <f ca="1">IF(Y58=0,bts!A26,IF(Y58=NumAppraisers,bts!A28,bts!A27))</f>
        <v>There is no appraiser bias present</v>
      </c>
      <c r="L43" s="244"/>
      <c r="M43" s="244"/>
      <c r="N43" s="244"/>
      <c r="O43" s="245"/>
      <c r="P43" s="240" t="s">
        <v>178</v>
      </c>
      <c r="Q43" s="240"/>
      <c r="R43" s="165"/>
      <c r="S43" s="146"/>
    </row>
    <row r="44" spans="2:26" ht="12.75" customHeight="1" x14ac:dyDescent="0.25">
      <c r="B44" s="163"/>
      <c r="C44" s="274" t="s">
        <v>176</v>
      </c>
      <c r="D44" s="262"/>
      <c r="E44" s="287"/>
      <c r="F44" s="288"/>
      <c r="G44" s="288"/>
      <c r="H44" s="288"/>
      <c r="I44" s="289"/>
      <c r="K44" s="246"/>
      <c r="L44" s="247"/>
      <c r="M44" s="247"/>
      <c r="N44" s="247"/>
      <c r="O44" s="248"/>
      <c r="P44" s="240"/>
      <c r="Q44" s="240"/>
      <c r="R44" s="165"/>
      <c r="S44" s="146"/>
    </row>
    <row r="45" spans="2:26" x14ac:dyDescent="0.25">
      <c r="B45" s="163"/>
      <c r="C45" s="277" t="s">
        <v>175</v>
      </c>
      <c r="D45" s="262"/>
      <c r="E45" s="290"/>
      <c r="F45" s="291"/>
      <c r="G45" s="291"/>
      <c r="H45" s="291"/>
      <c r="I45" s="292"/>
      <c r="K45" s="249"/>
      <c r="L45" s="250"/>
      <c r="M45" s="250"/>
      <c r="N45" s="250"/>
      <c r="O45" s="251"/>
      <c r="P45" s="240"/>
      <c r="Q45" s="240"/>
      <c r="R45" s="165"/>
      <c r="S45" s="146"/>
    </row>
    <row r="46" spans="2:26" x14ac:dyDescent="0.25">
      <c r="B46" s="163"/>
      <c r="P46" s="171"/>
      <c r="Q46" s="171"/>
      <c r="R46" s="165"/>
      <c r="S46" s="146"/>
    </row>
    <row r="47" spans="2:26" ht="13" x14ac:dyDescent="0.3">
      <c r="B47" s="198"/>
      <c r="C47" s="195" t="s">
        <v>264</v>
      </c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201"/>
      <c r="Q47" s="201"/>
      <c r="R47" s="197"/>
      <c r="S47" s="146"/>
    </row>
    <row r="48" spans="2:26" ht="13" x14ac:dyDescent="0.3">
      <c r="B48" s="163"/>
      <c r="C48" s="282" t="s">
        <v>263</v>
      </c>
      <c r="D48" s="282"/>
      <c r="E48" s="156" t="s">
        <v>181</v>
      </c>
      <c r="K48" s="156" t="s">
        <v>128</v>
      </c>
      <c r="P48" s="264" t="s">
        <v>180</v>
      </c>
      <c r="Q48" s="264"/>
      <c r="R48" s="165"/>
      <c r="S48" s="146"/>
    </row>
    <row r="49" spans="2:26" ht="12.75" customHeight="1" x14ac:dyDescent="0.25">
      <c r="B49" s="163"/>
      <c r="C49" s="261">
        <v>0</v>
      </c>
      <c r="D49" s="262"/>
      <c r="E49" s="284" t="str">
        <f>IF(Y$61=0,bts!A$43,IF(Y$61=1,bts!A$44,IF(Y$61=2,bts!A$45,IF(Y$61=3,bts!A$46,""))))</f>
        <v>All appraisers ranges are within the Consistency Chart control limits</v>
      </c>
      <c r="F49" s="285"/>
      <c r="G49" s="285"/>
      <c r="H49" s="285"/>
      <c r="I49" s="286"/>
      <c r="K49" s="243" t="str">
        <f>IF(Y61=0,bts!A31,IF(Y61=NumAppraisers,bts!A33,bts!A32))</f>
        <v xml:space="preserve">The results are consistent across appraisers </v>
      </c>
      <c r="L49" s="244"/>
      <c r="M49" s="244"/>
      <c r="N49" s="244"/>
      <c r="O49" s="245"/>
      <c r="P49" s="240" t="s">
        <v>179</v>
      </c>
      <c r="Q49" s="231"/>
      <c r="R49" s="165"/>
      <c r="S49" s="146"/>
    </row>
    <row r="50" spans="2:26" x14ac:dyDescent="0.25">
      <c r="B50" s="163"/>
      <c r="C50" s="274" t="s">
        <v>176</v>
      </c>
      <c r="D50" s="262"/>
      <c r="E50" s="287"/>
      <c r="F50" s="288"/>
      <c r="G50" s="288"/>
      <c r="H50" s="288"/>
      <c r="I50" s="289"/>
      <c r="K50" s="246"/>
      <c r="L50" s="247"/>
      <c r="M50" s="247"/>
      <c r="N50" s="247"/>
      <c r="O50" s="248"/>
      <c r="P50" s="240"/>
      <c r="Q50" s="231"/>
      <c r="R50" s="165"/>
      <c r="S50" s="146"/>
    </row>
    <row r="51" spans="2:26" x14ac:dyDescent="0.25">
      <c r="B51" s="163"/>
      <c r="C51" s="277" t="s">
        <v>175</v>
      </c>
      <c r="D51" s="262"/>
      <c r="E51" s="290"/>
      <c r="F51" s="291"/>
      <c r="G51" s="291"/>
      <c r="H51" s="291"/>
      <c r="I51" s="292"/>
      <c r="K51" s="249"/>
      <c r="L51" s="250"/>
      <c r="M51" s="250"/>
      <c r="N51" s="250"/>
      <c r="O51" s="251"/>
      <c r="P51" s="240"/>
      <c r="Q51" s="231"/>
      <c r="R51" s="165"/>
      <c r="S51" s="146"/>
    </row>
    <row r="52" spans="2:26" x14ac:dyDescent="0.25">
      <c r="B52" s="166"/>
      <c r="C52" s="193" t="s">
        <v>177</v>
      </c>
      <c r="D52" s="193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8"/>
      <c r="V52" s="155"/>
      <c r="W52" s="155"/>
      <c r="X52" s="155"/>
      <c r="Y52" s="155"/>
      <c r="Z52" s="155"/>
    </row>
    <row r="53" spans="2:26" x14ac:dyDescent="0.25">
      <c r="D53" s="238" t="s">
        <v>92</v>
      </c>
      <c r="E53" s="236"/>
      <c r="V53" s="155"/>
      <c r="W53" s="155"/>
      <c r="X53" s="155"/>
      <c r="Y53" s="155"/>
      <c r="Z53" s="155"/>
    </row>
    <row r="54" spans="2:26" x14ac:dyDescent="0.25">
      <c r="D54" s="191"/>
      <c r="E54" s="191"/>
      <c r="V54" s="155"/>
      <c r="W54" s="155"/>
      <c r="X54" s="155"/>
      <c r="Y54" s="155"/>
      <c r="Z54" s="155"/>
    </row>
    <row r="55" spans="2:26" ht="15.5" x14ac:dyDescent="0.35">
      <c r="B55" s="205" t="s">
        <v>168</v>
      </c>
      <c r="C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70"/>
      <c r="V55" s="155"/>
      <c r="W55" s="155"/>
      <c r="X55" s="155"/>
      <c r="Y55" s="155"/>
      <c r="Z55" s="155"/>
    </row>
    <row r="56" spans="2:26" ht="13" x14ac:dyDescent="0.3">
      <c r="B56" s="161"/>
      <c r="R56" s="165"/>
      <c r="V56" s="155"/>
      <c r="W56" s="155"/>
      <c r="X56" s="155"/>
      <c r="Y56" s="155"/>
      <c r="Z56" s="155"/>
    </row>
    <row r="57" spans="2:26" ht="12.75" customHeight="1" x14ac:dyDescent="0.3">
      <c r="B57" s="194"/>
      <c r="C57" s="203" t="s">
        <v>237</v>
      </c>
      <c r="D57" s="196"/>
      <c r="E57" s="196"/>
      <c r="F57" s="196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199"/>
      <c r="S57" s="105"/>
      <c r="T57" s="105"/>
      <c r="U57" s="105"/>
      <c r="V57" s="105"/>
      <c r="W57" s="187"/>
      <c r="X57" s="187"/>
      <c r="Y57" s="105"/>
      <c r="Z57" s="2"/>
    </row>
    <row r="58" spans="2:26" ht="13" x14ac:dyDescent="0.3">
      <c r="B58" s="163"/>
      <c r="C58" s="283" t="s">
        <v>164</v>
      </c>
      <c r="D58" s="283"/>
      <c r="E58" s="283"/>
      <c r="F58" s="283"/>
      <c r="G58" s="192" t="s">
        <v>174</v>
      </c>
      <c r="K58" s="156" t="s">
        <v>128</v>
      </c>
      <c r="R58" s="165"/>
      <c r="V58" s="155"/>
      <c r="X58" s="155">
        <f ca="1">IF((COUNTIF(AppAAve,"&gt;"&amp;UCLX)+COUNTIF(AppAAve,"&lt;"&amp;LCLX))/SampSize&lt;0.5,1,0)+IF((COUNTIF(AppBAve,"&gt;"&amp;UCLX)+COUNTIF(AppBAve,"&lt;"&amp;LCLX))/SampSize&lt;0.5,1,0)+IF(NumTrials=2,0,IF((COUNTIF(AppCAve,"&gt;"&amp;UCLX)+COUNTIF(AppCAve,"&lt;"&amp;LCLX))/SampSize&lt;0.5,1,0))</f>
        <v>3</v>
      </c>
      <c r="Y58" s="155">
        <f ca="1">IF(XBarA&gt;anomeucl,1,0)+IF(XBarB&gt;anomeucl,1,0)+IF(NumAppraisers=2,0,IF(XBarC&gt;anomeucl,1,0))+IF(XBarA&lt;anomelcl,1,0)+IF(XBarB&lt;anomelcl,1,0)+IF(NumAppraisers=2,0,IF(XBarC&lt;anomelcl,1,0))</f>
        <v>0</v>
      </c>
      <c r="Z58" s="155"/>
    </row>
    <row r="59" spans="2:26" ht="13" x14ac:dyDescent="0.3">
      <c r="B59" s="163"/>
      <c r="C59" s="261" t="s">
        <v>213</v>
      </c>
      <c r="D59" s="304"/>
      <c r="E59" s="304"/>
      <c r="F59" s="305"/>
      <c r="G59" s="164" t="str">
        <f ca="1">IF(P18&lt;=0.1,P18,"")</f>
        <v/>
      </c>
      <c r="K59" s="252" t="str">
        <f ca="1">IF(G59&lt;&gt;"",bts!A6, IF(G60&lt;&gt;"",bts!A7,IF(G61&lt;&gt;"",bts!A8,"")))</f>
        <v>The measurement system needs improvement. Make every effort to identify the problems and have them corrected.</v>
      </c>
      <c r="L59" s="253"/>
      <c r="M59" s="253"/>
      <c r="N59" s="253"/>
      <c r="O59" s="253"/>
      <c r="P59" s="253"/>
      <c r="Q59" s="254"/>
      <c r="R59" s="165"/>
      <c r="V59" s="155"/>
      <c r="X59" s="155"/>
      <c r="Y59" s="155"/>
      <c r="Z59" s="155"/>
    </row>
    <row r="60" spans="2:26" ht="13" x14ac:dyDescent="0.3">
      <c r="B60" s="163"/>
      <c r="C60" s="274" t="s">
        <v>214</v>
      </c>
      <c r="D60" s="275"/>
      <c r="E60" s="275"/>
      <c r="F60" s="276"/>
      <c r="G60" s="164" t="str">
        <f ca="1">IF(AND(P18&gt;0.1,P18&lt;=0.3),P18,"")</f>
        <v/>
      </c>
      <c r="K60" s="255"/>
      <c r="L60" s="256"/>
      <c r="M60" s="256"/>
      <c r="N60" s="256"/>
      <c r="O60" s="256"/>
      <c r="P60" s="256"/>
      <c r="Q60" s="257"/>
      <c r="R60" s="165"/>
      <c r="V60" s="155"/>
      <c r="X60" s="155"/>
      <c r="Y60" s="155"/>
      <c r="Z60" s="155"/>
    </row>
    <row r="61" spans="2:26" ht="13" x14ac:dyDescent="0.3">
      <c r="B61" s="163"/>
      <c r="C61" s="277" t="s">
        <v>165</v>
      </c>
      <c r="D61" s="278"/>
      <c r="E61" s="278"/>
      <c r="F61" s="279"/>
      <c r="G61" s="164">
        <f ca="1">IF(P18&gt;0.3,P18,"")</f>
        <v>0.96038533952190763</v>
      </c>
      <c r="K61" s="255"/>
      <c r="L61" s="256"/>
      <c r="M61" s="256"/>
      <c r="N61" s="256"/>
      <c r="O61" s="256"/>
      <c r="P61" s="256"/>
      <c r="Q61" s="257"/>
      <c r="R61" s="165"/>
      <c r="V61" s="155"/>
      <c r="X61" s="155">
        <f>IF(COUNTIF(AppARange,"&gt;"&amp;UCLR)&gt;0,1,0)+IF(COUNTIF(AppBRange,"&gt;"&amp;UCLR)&gt;0,1,0)+IF(IF(NumAppraisers=2,0,COUNTIF(AppCRange,"&gt;"&amp;UCLR))&gt;0,1,0)</f>
        <v>0</v>
      </c>
      <c r="Y61" s="155">
        <f>IF(RBarA&gt;UMR_UCL,1,0)+IF(RBarB&gt;UMR_UCL,1,0)+IF(NumAppraisers=2,0,IF(RBarC&gt;UMR_UCL,1,0))+IF(RBarA&lt;LMR_LCL,1,0)+IF(RBarB&lt;LMR_LCL,1,0)+IF(NumAppraisers=2,0,IF(RBarC&lt;LMR_LCL,1,0))</f>
        <v>0</v>
      </c>
      <c r="Z61" s="155"/>
    </row>
    <row r="62" spans="2:26" x14ac:dyDescent="0.25">
      <c r="B62" s="163"/>
      <c r="K62" s="258"/>
      <c r="L62" s="259"/>
      <c r="M62" s="259"/>
      <c r="N62" s="259"/>
      <c r="O62" s="259"/>
      <c r="P62" s="259"/>
      <c r="Q62" s="260"/>
      <c r="R62" s="165"/>
      <c r="V62" s="155"/>
      <c r="W62" s="155"/>
      <c r="X62" s="155"/>
      <c r="Y62" s="155"/>
      <c r="Z62" s="155"/>
    </row>
    <row r="63" spans="2:26" x14ac:dyDescent="0.25">
      <c r="B63" s="163"/>
      <c r="R63" s="165"/>
      <c r="V63" s="155"/>
      <c r="W63" s="155"/>
      <c r="X63" s="155"/>
      <c r="Y63" s="155"/>
      <c r="Z63" s="155"/>
    </row>
    <row r="64" spans="2:26" ht="13" x14ac:dyDescent="0.3">
      <c r="B64" s="198"/>
      <c r="C64" s="195" t="s">
        <v>265</v>
      </c>
      <c r="D64" s="200"/>
      <c r="E64" s="200"/>
      <c r="F64" s="200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7"/>
      <c r="V64" s="155"/>
      <c r="W64" s="155"/>
      <c r="X64" s="155"/>
      <c r="Y64" s="155"/>
      <c r="Z64" s="155"/>
    </row>
    <row r="65" spans="2:18" ht="13" x14ac:dyDescent="0.3">
      <c r="B65" s="161"/>
      <c r="C65" s="282" t="s">
        <v>263</v>
      </c>
      <c r="D65" s="282"/>
      <c r="E65" s="156" t="s">
        <v>181</v>
      </c>
      <c r="K65" s="156" t="s">
        <v>128</v>
      </c>
      <c r="P65" s="264" t="s">
        <v>180</v>
      </c>
      <c r="Q65" s="264"/>
      <c r="R65" s="165"/>
    </row>
    <row r="66" spans="2:18" ht="19.5" customHeight="1" x14ac:dyDescent="0.25">
      <c r="B66" s="163"/>
      <c r="C66" s="281" t="s">
        <v>266</v>
      </c>
      <c r="D66" s="270"/>
      <c r="E66" s="284" t="str">
        <f ca="1">IF(X$58=0,bts!A10,IF(X$58=1,X$58 &amp; bts!A$11,X$58&amp; bts!A$12))</f>
        <v>3 appraisers have less than 50% of the averages outside the Averages Chart control limits</v>
      </c>
      <c r="F66" s="244"/>
      <c r="G66" s="244"/>
      <c r="H66" s="244"/>
      <c r="I66" s="245"/>
      <c r="K66" s="243" t="str">
        <f ca="1">IF(X58=0,bts!A39,IF(X58=NumAppraisers,bts!A40,bts!A40))</f>
        <v>The measurement system may not have adequate resolution to detect part-to-part variation</v>
      </c>
      <c r="L66" s="244"/>
      <c r="M66" s="244"/>
      <c r="N66" s="244"/>
      <c r="O66" s="245"/>
      <c r="P66" s="301" t="s">
        <v>173</v>
      </c>
      <c r="Q66" s="299"/>
      <c r="R66" s="165"/>
    </row>
    <row r="67" spans="2:18" ht="19.5" customHeight="1" x14ac:dyDescent="0.25">
      <c r="B67" s="163"/>
      <c r="C67" s="269" t="s">
        <v>267</v>
      </c>
      <c r="D67" s="270"/>
      <c r="E67" s="249"/>
      <c r="F67" s="250"/>
      <c r="G67" s="250"/>
      <c r="H67" s="250"/>
      <c r="I67" s="251"/>
      <c r="K67" s="249"/>
      <c r="L67" s="250"/>
      <c r="M67" s="250"/>
      <c r="N67" s="250"/>
      <c r="O67" s="251"/>
      <c r="P67" s="301"/>
      <c r="Q67" s="299"/>
      <c r="R67" s="165"/>
    </row>
    <row r="68" spans="2:18" x14ac:dyDescent="0.25">
      <c r="B68" s="163"/>
      <c r="R68" s="165"/>
    </row>
    <row r="69" spans="2:18" ht="13" x14ac:dyDescent="0.3">
      <c r="B69" s="198"/>
      <c r="C69" s="195" t="s">
        <v>268</v>
      </c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7"/>
    </row>
    <row r="70" spans="2:18" ht="13" x14ac:dyDescent="0.3">
      <c r="B70" s="163"/>
      <c r="C70" s="282" t="s">
        <v>263</v>
      </c>
      <c r="D70" s="282"/>
      <c r="E70" s="156" t="s">
        <v>181</v>
      </c>
      <c r="F70" s="192"/>
      <c r="K70" s="156" t="s">
        <v>128</v>
      </c>
      <c r="P70" s="264" t="s">
        <v>180</v>
      </c>
      <c r="Q70" s="264"/>
      <c r="R70" s="165"/>
    </row>
    <row r="71" spans="2:18" ht="19.5" customHeight="1" x14ac:dyDescent="0.25">
      <c r="B71" s="163"/>
      <c r="C71" s="281">
        <v>0</v>
      </c>
      <c r="D71" s="270"/>
      <c r="E71" s="284" t="str">
        <f>IF(X$61=0,bts!A$19,IF(X$61=1,bts!A$20,IF(X$61=2,bts!A$21,IF(X$61=3,bts!A$22,""))))</f>
        <v>All appraisers ranges are within the Range Chart control limits</v>
      </c>
      <c r="F71" s="244"/>
      <c r="G71" s="244"/>
      <c r="H71" s="244"/>
      <c r="I71" s="245"/>
      <c r="K71" s="243" t="str">
        <f>IF(X61=0,bts!A31,IF(X61=NumAppraisers,bts!A32,bts!A32))</f>
        <v xml:space="preserve">The results are consistent across appraisers </v>
      </c>
      <c r="L71" s="244"/>
      <c r="M71" s="244"/>
      <c r="N71" s="244"/>
      <c r="O71" s="245"/>
      <c r="P71" s="301" t="s">
        <v>172</v>
      </c>
      <c r="Q71" s="302"/>
      <c r="R71" s="165"/>
    </row>
    <row r="72" spans="2:18" ht="19.5" customHeight="1" x14ac:dyDescent="0.25">
      <c r="B72" s="163"/>
      <c r="C72" s="269" t="s">
        <v>175</v>
      </c>
      <c r="D72" s="270"/>
      <c r="E72" s="249"/>
      <c r="F72" s="250"/>
      <c r="G72" s="250"/>
      <c r="H72" s="250"/>
      <c r="I72" s="251"/>
      <c r="K72" s="249"/>
      <c r="L72" s="250"/>
      <c r="M72" s="250"/>
      <c r="N72" s="250"/>
      <c r="O72" s="251"/>
      <c r="P72" s="303"/>
      <c r="Q72" s="302"/>
      <c r="R72" s="165"/>
    </row>
    <row r="73" spans="2:18" x14ac:dyDescent="0.25">
      <c r="B73" s="166"/>
      <c r="C73" s="193" t="s">
        <v>177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8"/>
    </row>
    <row r="75" spans="2:18" ht="13" thickBot="1" x14ac:dyDescent="0.3">
      <c r="D75" s="280" t="s">
        <v>92</v>
      </c>
      <c r="E75" s="280"/>
    </row>
    <row r="76" spans="2:18" ht="13" x14ac:dyDescent="0.3">
      <c r="D76" s="265" t="s">
        <v>101</v>
      </c>
      <c r="E76" s="266"/>
      <c r="F76" s="266"/>
      <c r="G76" s="266"/>
      <c r="H76" s="266"/>
      <c r="I76" s="266"/>
      <c r="J76" s="266"/>
      <c r="K76" s="266"/>
      <c r="L76" s="267"/>
    </row>
    <row r="77" spans="2:18" ht="15.5" x14ac:dyDescent="0.4">
      <c r="D77" s="101" t="s">
        <v>105</v>
      </c>
      <c r="E77" s="99" t="s">
        <v>97</v>
      </c>
      <c r="F77" s="99"/>
      <c r="G77" s="100"/>
      <c r="H77" s="100"/>
      <c r="I77" s="100"/>
      <c r="J77" s="100"/>
      <c r="K77" s="100"/>
      <c r="L77" s="111"/>
    </row>
    <row r="78" spans="2:18" x14ac:dyDescent="0.25">
      <c r="D78" s="102" t="s">
        <v>241</v>
      </c>
      <c r="E78" s="98" t="s">
        <v>98</v>
      </c>
      <c r="F78" s="98"/>
      <c r="G78" s="97"/>
      <c r="H78" s="97"/>
      <c r="I78" s="97"/>
      <c r="J78" s="97"/>
      <c r="K78" s="97"/>
      <c r="L78" s="112"/>
    </row>
    <row r="79" spans="2:18" ht="15.5" x14ac:dyDescent="0.4">
      <c r="D79" s="102" t="s">
        <v>110</v>
      </c>
      <c r="E79" s="98" t="s">
        <v>100</v>
      </c>
      <c r="F79" s="98"/>
      <c r="G79" s="97"/>
      <c r="H79" s="97"/>
      <c r="I79" s="97"/>
      <c r="J79" s="97"/>
      <c r="K79" s="28"/>
      <c r="L79" s="113"/>
    </row>
    <row r="80" spans="2:18" ht="15.5" x14ac:dyDescent="0.4">
      <c r="D80" s="102" t="s">
        <v>106</v>
      </c>
      <c r="E80" s="98" t="s">
        <v>99</v>
      </c>
      <c r="F80" s="98"/>
      <c r="G80" s="97"/>
      <c r="H80" s="97"/>
      <c r="I80" s="97"/>
      <c r="J80" s="97"/>
      <c r="K80" s="28"/>
      <c r="L80" s="113"/>
    </row>
    <row r="81" spans="1:24" x14ac:dyDescent="0.25">
      <c r="D81" s="95" t="s">
        <v>45</v>
      </c>
      <c r="E81" s="96" t="s">
        <v>103</v>
      </c>
      <c r="F81" s="96"/>
      <c r="G81" s="97"/>
      <c r="H81" s="28"/>
      <c r="I81" s="28"/>
      <c r="J81" s="28"/>
      <c r="K81" s="28"/>
      <c r="L81" s="113"/>
    </row>
    <row r="82" spans="1:24" ht="13" thickBot="1" x14ac:dyDescent="0.3">
      <c r="D82" s="92" t="s">
        <v>102</v>
      </c>
      <c r="E82" s="93" t="s">
        <v>104</v>
      </c>
      <c r="F82" s="93"/>
      <c r="G82" s="94"/>
      <c r="H82" s="91"/>
      <c r="I82" s="91"/>
      <c r="J82" s="91"/>
      <c r="K82" s="91"/>
      <c r="L82" s="114"/>
    </row>
    <row r="84" spans="1:24" x14ac:dyDescent="0.25">
      <c r="A84" s="337" t="s">
        <v>281</v>
      </c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</row>
    <row r="85" spans="1:24" x14ac:dyDescent="0.25">
      <c r="U85" s="109"/>
      <c r="V85" s="109"/>
      <c r="W85" s="188"/>
    </row>
  </sheetData>
  <mergeCells count="73">
    <mergeCell ref="B1:D1"/>
    <mergeCell ref="A84:X84"/>
    <mergeCell ref="C65:D65"/>
    <mergeCell ref="E66:I67"/>
    <mergeCell ref="K66:O67"/>
    <mergeCell ref="K27:L28"/>
    <mergeCell ref="C42:D42"/>
    <mergeCell ref="E43:I45"/>
    <mergeCell ref="C48:D48"/>
    <mergeCell ref="C36:F36"/>
    <mergeCell ref="E71:I72"/>
    <mergeCell ref="P27:S28"/>
    <mergeCell ref="K59:Q62"/>
    <mergeCell ref="C35:F35"/>
    <mergeCell ref="C39:F39"/>
    <mergeCell ref="P65:Q65"/>
    <mergeCell ref="P71:Q72"/>
    <mergeCell ref="P66:Q67"/>
    <mergeCell ref="P70:Q70"/>
    <mergeCell ref="P42:Q42"/>
    <mergeCell ref="P43:Q45"/>
    <mergeCell ref="C66:D66"/>
    <mergeCell ref="C59:F59"/>
    <mergeCell ref="C44:D44"/>
    <mergeCell ref="C45:D45"/>
    <mergeCell ref="C49:D49"/>
    <mergeCell ref="O6:P6"/>
    <mergeCell ref="S6:T6"/>
    <mergeCell ref="S11:T11"/>
    <mergeCell ref="O3:U4"/>
    <mergeCell ref="K3:L4"/>
    <mergeCell ref="O11:P11"/>
    <mergeCell ref="K6:L6"/>
    <mergeCell ref="K11:L11"/>
    <mergeCell ref="B2:F2"/>
    <mergeCell ref="G2:O2"/>
    <mergeCell ref="P2:T2"/>
    <mergeCell ref="K5:L5"/>
    <mergeCell ref="O5:P5"/>
    <mergeCell ref="S5:T5"/>
    <mergeCell ref="E1:V1"/>
    <mergeCell ref="D76:L76"/>
    <mergeCell ref="G35:H35"/>
    <mergeCell ref="C72:D72"/>
    <mergeCell ref="C37:F37"/>
    <mergeCell ref="C38:F38"/>
    <mergeCell ref="K71:O72"/>
    <mergeCell ref="C50:D50"/>
    <mergeCell ref="C51:D51"/>
    <mergeCell ref="C61:F61"/>
    <mergeCell ref="D75:E75"/>
    <mergeCell ref="C67:D67"/>
    <mergeCell ref="C71:D71"/>
    <mergeCell ref="C70:D70"/>
    <mergeCell ref="C58:F58"/>
    <mergeCell ref="E49:I51"/>
    <mergeCell ref="C60:F60"/>
    <mergeCell ref="S16:T16"/>
    <mergeCell ref="S21:T21"/>
    <mergeCell ref="O16:P16"/>
    <mergeCell ref="D53:E53"/>
    <mergeCell ref="P29:S29"/>
    <mergeCell ref="P49:Q51"/>
    <mergeCell ref="K25:L25"/>
    <mergeCell ref="O25:P25"/>
    <mergeCell ref="O21:P21"/>
    <mergeCell ref="K43:O45"/>
    <mergeCell ref="K49:O51"/>
    <mergeCell ref="K36:Q39"/>
    <mergeCell ref="J29:M29"/>
    <mergeCell ref="C43:D43"/>
    <mergeCell ref="J30:L30"/>
    <mergeCell ref="P48:Q48"/>
  </mergeCells>
  <phoneticPr fontId="2" type="noConversion"/>
  <conditionalFormatting sqref="G36:G39">
    <cfRule type="cellIs" dxfId="18" priority="13" stopIfTrue="1" operator="notEqual">
      <formula>""</formula>
    </cfRule>
  </conditionalFormatting>
  <conditionalFormatting sqref="G59:G61">
    <cfRule type="cellIs" dxfId="17" priority="1" stopIfTrue="1" operator="notEqual">
      <formula>""</formula>
    </cfRule>
  </conditionalFormatting>
  <conditionalFormatting sqref="K49">
    <cfRule type="expression" dxfId="16" priority="7" stopIfTrue="1">
      <formula>IF($X$61=1,1,0)</formula>
    </cfRule>
    <cfRule type="expression" dxfId="15" priority="8" stopIfTrue="1">
      <formula>IF($X$61=2,1,0)</formula>
    </cfRule>
    <cfRule type="expression" dxfId="14" priority="9" stopIfTrue="1">
      <formula>IF($X$61=3,1,0)</formula>
    </cfRule>
  </conditionalFormatting>
  <conditionalFormatting sqref="K66">
    <cfRule type="expression" dxfId="13" priority="4" stopIfTrue="1">
      <formula>IF($X$58=0,1,0)</formula>
    </cfRule>
    <cfRule type="expression" dxfId="12" priority="5" stopIfTrue="1">
      <formula>IF(OR($X$58=2,$X$58=1),1,0)</formula>
    </cfRule>
    <cfRule type="expression" dxfId="11" priority="6" stopIfTrue="1">
      <formula>IF($X$58=NumAppraisers,1,0)</formula>
    </cfRule>
  </conditionalFormatting>
  <conditionalFormatting sqref="K43:O44">
    <cfRule type="expression" dxfId="10" priority="10" stopIfTrue="1">
      <formula>IF($Y$58=1,1,0)</formula>
    </cfRule>
    <cfRule type="expression" dxfId="9" priority="11" stopIfTrue="1">
      <formula>IF($Y$58=2,1,0)</formula>
    </cfRule>
    <cfRule type="expression" dxfId="8" priority="12" stopIfTrue="1">
      <formula>IF($Y$58=3,1,0)</formula>
    </cfRule>
  </conditionalFormatting>
  <conditionalFormatting sqref="K71:O72">
    <cfRule type="expression" dxfId="7" priority="40" stopIfTrue="1">
      <formula>IF($X$61=0,1,0)</formula>
    </cfRule>
    <cfRule type="expression" dxfId="6" priority="41" stopIfTrue="1">
      <formula>IF($X$61&gt;0,1,0)</formula>
    </cfRule>
  </conditionalFormatting>
  <conditionalFormatting sqref="K36:Q39">
    <cfRule type="expression" dxfId="5" priority="20" stopIfTrue="1">
      <formula>IF($G$37&lt;&gt;"",1,)</formula>
    </cfRule>
    <cfRule type="expression" dxfId="4" priority="21" stopIfTrue="1">
      <formula>IF($G$38&lt;&gt;"",1,)</formula>
    </cfRule>
    <cfRule type="expression" dxfId="3" priority="22" stopIfTrue="1">
      <formula>IF($G$39&lt;&gt;"",1,)</formula>
    </cfRule>
  </conditionalFormatting>
  <conditionalFormatting sqref="K59:Q62">
    <cfRule type="expression" dxfId="2" priority="14" stopIfTrue="1">
      <formula>IF($G$59&lt;&gt;"",1,)</formula>
    </cfRule>
    <cfRule type="expression" dxfId="1" priority="15" stopIfTrue="1">
      <formula>IF($G$60&lt;&gt;"",1,)</formula>
    </cfRule>
    <cfRule type="expression" dxfId="0" priority="16" stopIfTrue="1">
      <formula>IF($G$61&lt;&gt;"",1,)</formula>
    </cfRule>
  </conditionalFormatting>
  <hyperlinks>
    <hyperlink ref="D82:G82" location="NumTrials" display="n" xr:uid="{00000000-0004-0000-0300-000000000000}"/>
    <hyperlink ref="D81:G81" location="SampSize" display="p" xr:uid="{00000000-0004-0000-0300-000001000000}"/>
    <hyperlink ref="D80:H80" location="RangeParts" display="Rp" xr:uid="{00000000-0004-0000-0300-000002000000}"/>
    <hyperlink ref="D79:H79" location="RangeOps" display="R0" xr:uid="{00000000-0004-0000-0300-000003000000}"/>
    <hyperlink ref="H38" location="D2Home" display="d2*" xr:uid="{00000000-0004-0000-0300-000004000000}"/>
    <hyperlink ref="H37" location="RDblBar" display="Rdoublebar" xr:uid="{00000000-0004-0000-0300-000005000000}"/>
    <hyperlink ref="D78:L78" location="'d2'!A1" display="d2" xr:uid="{00000000-0004-0000-0300-000006000000}"/>
    <hyperlink ref="D77:K77" location="RDblBar" display="Rdoublebar" xr:uid="{00000000-0004-0000-0300-000007000000}"/>
    <hyperlink ref="P2:T2" location="' Data'!A1" display=" Previous step: Enter Data" xr:uid="{00000000-0004-0000-0300-000008000000}"/>
    <hyperlink ref="K27:L28" location="'Bias &amp; Consistency Charts'!A1" display="Next step: Bias &amp; Consistency Charts" xr:uid="{00000000-0004-0000-0300-000009000000}"/>
    <hyperlink ref="P27:S28" location="'Ave &amp; Range Charts'!A1" display="Next step: Range &amp; Averages Charts" xr:uid="{00000000-0004-0000-0300-00000A000000}"/>
    <hyperlink ref="B2:F2" location="Results!B61" display="Click here for results interpretation" xr:uid="{00000000-0004-0000-0300-00000B000000}"/>
    <hyperlink ref="G2:O2" location="Results!A78" display="Click here for a key to terms used in the equations" xr:uid="{00000000-0004-0000-0300-00000C000000}"/>
    <hyperlink ref="D75:E75" location="Results!A1" display="Back to top" xr:uid="{00000000-0004-0000-0300-00000D000000}"/>
    <hyperlink ref="D53:E53" location="Results!A1" display="Back to top" xr:uid="{00000000-0004-0000-0300-00000E000000}"/>
    <hyperlink ref="P66" location="AveragesChart" display="AveragesChart" xr:uid="{00000000-0004-0000-0300-00000F000000}"/>
    <hyperlink ref="P71" location="RangeChart" display="RangeChart" xr:uid="{00000000-0004-0000-0300-000010000000}"/>
    <hyperlink ref="P43:Q45" location="'Bias &amp; Consistency Charts'!A1" display="'Bias &amp; Consistency Charts'!A1" xr:uid="{00000000-0004-0000-0300-000011000000}"/>
    <hyperlink ref="P49:Q51" location="ConsistencyChart" display="ConsistencyChart" xr:uid="{00000000-0004-0000-0300-000012000000}"/>
    <hyperlink ref="D78:K78" location="d2star!A1" display="d2*" xr:uid="{00000000-0004-0000-0300-000013000000}"/>
  </hyperlinks>
  <pageMargins left="0.75" right="0.75" top="1" bottom="1" header="0.5" footer="0.5"/>
  <pageSetup scale="57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R91"/>
  <sheetViews>
    <sheetView showGridLines="0" showRowColHeaders="0" workbookViewId="0">
      <selection activeCell="B75" sqref="B75:O75"/>
    </sheetView>
  </sheetViews>
  <sheetFormatPr defaultRowHeight="12.5" x14ac:dyDescent="0.25"/>
  <cols>
    <col min="1" max="2" width="1.81640625" customWidth="1"/>
    <col min="3" max="3" width="8.81640625" customWidth="1"/>
    <col min="4" max="4" width="8.453125" customWidth="1"/>
    <col min="5" max="5" width="9.453125" customWidth="1"/>
    <col min="6" max="9" width="8.453125" customWidth="1"/>
    <col min="10" max="10" width="1.54296875" customWidth="1"/>
    <col min="11" max="11" width="10.453125" customWidth="1"/>
    <col min="12" max="15" width="8.453125" customWidth="1"/>
    <col min="16" max="16" width="1.453125" customWidth="1"/>
  </cols>
  <sheetData>
    <row r="1" spans="2:18" ht="18.5" thickBot="1" x14ac:dyDescent="0.45">
      <c r="B1" s="339" t="e" vm="1">
        <v>#VALUE!</v>
      </c>
      <c r="C1" s="340"/>
      <c r="D1" s="348" t="s">
        <v>238</v>
      </c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</row>
    <row r="2" spans="2:18" ht="7.5" customHeight="1" x14ac:dyDescent="0.4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2:18" ht="12" customHeight="1" x14ac:dyDescent="0.25">
      <c r="B3" s="157" t="s">
        <v>155</v>
      </c>
      <c r="C3" s="157"/>
      <c r="D3" s="157"/>
      <c r="E3" s="157"/>
      <c r="F3" s="157"/>
      <c r="H3" s="306" t="s">
        <v>91</v>
      </c>
      <c r="I3" s="306"/>
      <c r="J3" s="306"/>
      <c r="K3" s="306"/>
      <c r="L3" s="306"/>
      <c r="M3" s="157"/>
      <c r="N3" s="157" t="s">
        <v>163</v>
      </c>
      <c r="O3" s="157"/>
      <c r="P3" s="157"/>
      <c r="Q3" s="157"/>
      <c r="R3" s="157"/>
    </row>
    <row r="4" spans="2:18" ht="6" customHeight="1" x14ac:dyDescent="0.25"/>
    <row r="5" spans="2:18" x14ac:dyDescent="0.25">
      <c r="Q5" s="307" t="s">
        <v>161</v>
      </c>
      <c r="R5" s="307"/>
    </row>
    <row r="6" spans="2:18" x14ac:dyDescent="0.25">
      <c r="Q6" s="307"/>
      <c r="R6" s="307"/>
    </row>
    <row r="7" spans="2:18" x14ac:dyDescent="0.25">
      <c r="Q7" s="307"/>
      <c r="R7" s="307"/>
    </row>
    <row r="8" spans="2:18" x14ac:dyDescent="0.25">
      <c r="Q8" s="307"/>
      <c r="R8" s="307"/>
    </row>
    <row r="9" spans="2:18" x14ac:dyDescent="0.25">
      <c r="Q9" s="307"/>
      <c r="R9" s="307"/>
    </row>
    <row r="10" spans="2:18" x14ac:dyDescent="0.25">
      <c r="Q10" s="307"/>
      <c r="R10" s="307"/>
    </row>
    <row r="11" spans="2:18" x14ac:dyDescent="0.25">
      <c r="Q11" s="307"/>
      <c r="R11" s="307"/>
    </row>
    <row r="12" spans="2:18" x14ac:dyDescent="0.25">
      <c r="Q12" s="307"/>
      <c r="R12" s="307"/>
    </row>
    <row r="13" spans="2:18" x14ac:dyDescent="0.25">
      <c r="Q13" s="307"/>
      <c r="R13" s="307"/>
    </row>
    <row r="14" spans="2:18" x14ac:dyDescent="0.25">
      <c r="Q14" s="307"/>
      <c r="R14" s="307"/>
    </row>
    <row r="15" spans="2:18" x14ac:dyDescent="0.25">
      <c r="Q15" s="307"/>
      <c r="R15" s="307"/>
    </row>
    <row r="16" spans="2:18" x14ac:dyDescent="0.25">
      <c r="Q16" s="307"/>
      <c r="R16" s="307"/>
    </row>
    <row r="17" spans="17:18" x14ac:dyDescent="0.25">
      <c r="Q17" s="307"/>
      <c r="R17" s="307"/>
    </row>
    <row r="18" spans="17:18" x14ac:dyDescent="0.25">
      <c r="Q18" s="307"/>
      <c r="R18" s="307"/>
    </row>
    <row r="19" spans="17:18" x14ac:dyDescent="0.25">
      <c r="Q19" s="307"/>
      <c r="R19" s="307"/>
    </row>
    <row r="20" spans="17:18" x14ac:dyDescent="0.25">
      <c r="Q20" s="307"/>
      <c r="R20" s="307"/>
    </row>
    <row r="21" spans="17:18" x14ac:dyDescent="0.25">
      <c r="Q21" s="307"/>
      <c r="R21" s="307"/>
    </row>
    <row r="22" spans="17:18" x14ac:dyDescent="0.25">
      <c r="Q22" s="307"/>
      <c r="R22" s="307"/>
    </row>
    <row r="23" spans="17:18" x14ac:dyDescent="0.25">
      <c r="Q23" s="307"/>
      <c r="R23" s="307"/>
    </row>
    <row r="24" spans="17:18" x14ac:dyDescent="0.25">
      <c r="Q24" s="307"/>
      <c r="R24" s="307"/>
    </row>
    <row r="25" spans="17:18" x14ac:dyDescent="0.25">
      <c r="Q25" s="307"/>
      <c r="R25" s="307"/>
    </row>
    <row r="26" spans="17:18" x14ac:dyDescent="0.25">
      <c r="Q26" s="307"/>
      <c r="R26" s="307"/>
    </row>
    <row r="27" spans="17:18" x14ac:dyDescent="0.25">
      <c r="Q27" s="307"/>
      <c r="R27" s="307"/>
    </row>
    <row r="28" spans="17:18" x14ac:dyDescent="0.25">
      <c r="Q28" s="307"/>
      <c r="R28" s="307"/>
    </row>
    <row r="29" spans="17:18" x14ac:dyDescent="0.25">
      <c r="Q29" s="307"/>
      <c r="R29" s="307"/>
    </row>
    <row r="30" spans="17:18" x14ac:dyDescent="0.25">
      <c r="Q30" s="307"/>
      <c r="R30" s="307"/>
    </row>
    <row r="31" spans="17:18" x14ac:dyDescent="0.25">
      <c r="Q31" s="307"/>
      <c r="R31" s="307"/>
    </row>
    <row r="32" spans="17:18" x14ac:dyDescent="0.25">
      <c r="Q32" s="307"/>
      <c r="R32" s="307"/>
    </row>
    <row r="34" spans="17:18" x14ac:dyDescent="0.25">
      <c r="Q34" s="307" t="s">
        <v>162</v>
      </c>
      <c r="R34" s="307"/>
    </row>
    <row r="35" spans="17:18" x14ac:dyDescent="0.25">
      <c r="Q35" s="307"/>
      <c r="R35" s="307"/>
    </row>
    <row r="36" spans="17:18" x14ac:dyDescent="0.25">
      <c r="Q36" s="307"/>
      <c r="R36" s="307"/>
    </row>
    <row r="37" spans="17:18" x14ac:dyDescent="0.25">
      <c r="Q37" s="307"/>
      <c r="R37" s="307"/>
    </row>
    <row r="38" spans="17:18" x14ac:dyDescent="0.25">
      <c r="Q38" s="307"/>
      <c r="R38" s="307"/>
    </row>
    <row r="39" spans="17:18" x14ac:dyDescent="0.25">
      <c r="Q39" s="307"/>
      <c r="R39" s="307"/>
    </row>
    <row r="40" spans="17:18" x14ac:dyDescent="0.25">
      <c r="Q40" s="307"/>
      <c r="R40" s="307"/>
    </row>
    <row r="41" spans="17:18" x14ac:dyDescent="0.25">
      <c r="Q41" s="307"/>
      <c r="R41" s="307"/>
    </row>
    <row r="42" spans="17:18" x14ac:dyDescent="0.25">
      <c r="Q42" s="307"/>
      <c r="R42" s="307"/>
    </row>
    <row r="43" spans="17:18" x14ac:dyDescent="0.25">
      <c r="Q43" s="307"/>
      <c r="R43" s="307"/>
    </row>
    <row r="44" spans="17:18" x14ac:dyDescent="0.25">
      <c r="Q44" s="307"/>
      <c r="R44" s="307"/>
    </row>
    <row r="45" spans="17:18" x14ac:dyDescent="0.25">
      <c r="Q45" s="307"/>
      <c r="R45" s="307"/>
    </row>
    <row r="46" spans="17:18" x14ac:dyDescent="0.25">
      <c r="Q46" s="307"/>
      <c r="R46" s="307"/>
    </row>
    <row r="47" spans="17:18" x14ac:dyDescent="0.25">
      <c r="Q47" s="307"/>
      <c r="R47" s="307"/>
    </row>
    <row r="48" spans="17:18" x14ac:dyDescent="0.25">
      <c r="Q48" s="307"/>
      <c r="R48" s="307"/>
    </row>
    <row r="49" spans="2:18" x14ac:dyDescent="0.25">
      <c r="Q49" s="307"/>
      <c r="R49" s="307"/>
    </row>
    <row r="50" spans="2:18" x14ac:dyDescent="0.25">
      <c r="Q50" s="307"/>
      <c r="R50" s="307"/>
    </row>
    <row r="51" spans="2:18" x14ac:dyDescent="0.25">
      <c r="Q51" s="307"/>
      <c r="R51" s="307"/>
    </row>
    <row r="52" spans="2:18" x14ac:dyDescent="0.25">
      <c r="Q52" s="307"/>
      <c r="R52" s="307"/>
    </row>
    <row r="53" spans="2:18" x14ac:dyDescent="0.25">
      <c r="Q53" s="307"/>
      <c r="R53" s="307"/>
    </row>
    <row r="54" spans="2:18" x14ac:dyDescent="0.25">
      <c r="Q54" s="307"/>
      <c r="R54" s="307"/>
    </row>
    <row r="55" spans="2:18" x14ac:dyDescent="0.25">
      <c r="Q55" s="307"/>
      <c r="R55" s="307"/>
    </row>
    <row r="56" spans="2:18" x14ac:dyDescent="0.25">
      <c r="Q56" s="307"/>
      <c r="R56" s="307"/>
    </row>
    <row r="57" spans="2:18" x14ac:dyDescent="0.25">
      <c r="Q57" s="307"/>
      <c r="R57" s="307"/>
    </row>
    <row r="58" spans="2:18" x14ac:dyDescent="0.25">
      <c r="Q58" s="307"/>
      <c r="R58" s="307"/>
    </row>
    <row r="59" spans="2:18" x14ac:dyDescent="0.25">
      <c r="Q59" s="307"/>
      <c r="R59" s="307"/>
    </row>
    <row r="60" spans="2:18" x14ac:dyDescent="0.25">
      <c r="Q60" s="307"/>
      <c r="R60" s="307"/>
    </row>
    <row r="61" spans="2:18" x14ac:dyDescent="0.25">
      <c r="Q61" s="307"/>
      <c r="R61" s="307"/>
    </row>
    <row r="62" spans="2:18" ht="13" thickBot="1" x14ac:dyDescent="0.3">
      <c r="B62" s="280" t="s">
        <v>92</v>
      </c>
      <c r="C62" s="280"/>
    </row>
    <row r="63" spans="2:18" ht="13" x14ac:dyDescent="0.3">
      <c r="B63" s="308" t="s">
        <v>142</v>
      </c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10"/>
    </row>
    <row r="64" spans="2:18" x14ac:dyDescent="0.25">
      <c r="B64" s="45"/>
      <c r="P64" s="49"/>
    </row>
    <row r="65" spans="2:16" ht="13" x14ac:dyDescent="0.3">
      <c r="B65" s="45"/>
      <c r="C65" s="311" t="s">
        <v>156</v>
      </c>
      <c r="D65" s="311"/>
      <c r="E65" s="311"/>
      <c r="F65" s="311"/>
      <c r="G65" s="311"/>
      <c r="H65" s="311"/>
      <c r="I65" s="311"/>
      <c r="K65" s="311" t="s">
        <v>157</v>
      </c>
      <c r="L65" s="311"/>
      <c r="M65" s="311"/>
      <c r="N65" s="311"/>
      <c r="O65" s="311"/>
      <c r="P65" s="49"/>
    </row>
    <row r="66" spans="2:16" ht="15" x14ac:dyDescent="0.4">
      <c r="B66" s="45"/>
      <c r="C66" s="41" t="s">
        <v>38</v>
      </c>
      <c r="D66" s="42" t="s">
        <v>36</v>
      </c>
      <c r="E66" s="42" t="s">
        <v>39</v>
      </c>
      <c r="F66" s="42" t="s">
        <v>34</v>
      </c>
      <c r="G66" s="42" t="s">
        <v>143</v>
      </c>
      <c r="H66" s="42" t="s">
        <v>25</v>
      </c>
      <c r="I66" s="33" t="s">
        <v>76</v>
      </c>
      <c r="K66" s="41" t="s">
        <v>39</v>
      </c>
      <c r="L66" s="42" t="s">
        <v>34</v>
      </c>
      <c r="M66" s="42" t="s">
        <v>144</v>
      </c>
      <c r="N66" s="42" t="s">
        <v>25</v>
      </c>
      <c r="O66" s="33" t="s">
        <v>76</v>
      </c>
      <c r="P66" s="49"/>
    </row>
    <row r="67" spans="2:16" x14ac:dyDescent="0.25">
      <c r="B67" s="45"/>
      <c r="C67" s="27">
        <f ca="1">XDblBar</f>
        <v>205.4628888888889</v>
      </c>
      <c r="D67" s="38" t="s">
        <v>36</v>
      </c>
      <c r="E67" s="31">
        <f>RDblBar</f>
        <v>0.52800000000000302</v>
      </c>
      <c r="F67" s="38" t="s">
        <v>34</v>
      </c>
      <c r="G67" s="26">
        <f>ANOMEfactor</f>
        <v>0.192</v>
      </c>
      <c r="H67" s="29" t="s">
        <v>25</v>
      </c>
      <c r="I67" s="30">
        <f ca="1">C67+(E67*G67)</f>
        <v>205.56426488888889</v>
      </c>
      <c r="K67" s="154">
        <f>RDblBar</f>
        <v>0.52800000000000302</v>
      </c>
      <c r="L67" s="38" t="s">
        <v>34</v>
      </c>
      <c r="M67" s="26">
        <f>UMR</f>
        <v>1.3149999999999999</v>
      </c>
      <c r="N67" s="29" t="s">
        <v>25</v>
      </c>
      <c r="O67" s="30">
        <f>K67*M67</f>
        <v>0.69432000000000393</v>
      </c>
      <c r="P67" s="49"/>
    </row>
    <row r="68" spans="2:16" x14ac:dyDescent="0.25">
      <c r="B68" s="45"/>
      <c r="C68" s="53"/>
      <c r="E68" s="53"/>
      <c r="G68" s="53"/>
      <c r="H68" s="54"/>
      <c r="I68" s="53"/>
      <c r="K68" s="53"/>
      <c r="M68" s="53"/>
      <c r="N68" s="54"/>
      <c r="O68" s="53"/>
      <c r="P68" s="49"/>
    </row>
    <row r="69" spans="2:16" ht="15" x14ac:dyDescent="0.4">
      <c r="B69" s="45"/>
      <c r="C69" s="41" t="s">
        <v>38</v>
      </c>
      <c r="D69" s="42" t="s">
        <v>37</v>
      </c>
      <c r="E69" s="42" t="s">
        <v>39</v>
      </c>
      <c r="F69" s="42" t="s">
        <v>34</v>
      </c>
      <c r="G69" s="42" t="s">
        <v>143</v>
      </c>
      <c r="H69" s="42" t="s">
        <v>25</v>
      </c>
      <c r="I69" s="33" t="s">
        <v>77</v>
      </c>
      <c r="K69" s="41" t="s">
        <v>39</v>
      </c>
      <c r="L69" s="42" t="s">
        <v>34</v>
      </c>
      <c r="M69" s="42" t="s">
        <v>145</v>
      </c>
      <c r="N69" s="42" t="s">
        <v>25</v>
      </c>
      <c r="O69" s="33" t="s">
        <v>77</v>
      </c>
      <c r="P69" s="49"/>
    </row>
    <row r="70" spans="2:16" x14ac:dyDescent="0.25">
      <c r="B70" s="45"/>
      <c r="C70" s="27">
        <f ca="1">XDblBar</f>
        <v>205.4628888888889</v>
      </c>
      <c r="D70" s="38" t="s">
        <v>37</v>
      </c>
      <c r="E70" s="31">
        <f>RDblBar</f>
        <v>0.52800000000000302</v>
      </c>
      <c r="F70" s="38" t="s">
        <v>34</v>
      </c>
      <c r="G70" s="26">
        <f>ANOMEfactor</f>
        <v>0.192</v>
      </c>
      <c r="H70" s="29" t="s">
        <v>25</v>
      </c>
      <c r="I70" s="30">
        <f ca="1">C70-(E70*G70)</f>
        <v>205.36151288888891</v>
      </c>
      <c r="K70" s="154">
        <f>RDblBar</f>
        <v>0.52800000000000302</v>
      </c>
      <c r="L70" s="38" t="s">
        <v>34</v>
      </c>
      <c r="M70" s="26">
        <f>LMR</f>
        <v>0.66900000000000004</v>
      </c>
      <c r="N70" s="29" t="s">
        <v>25</v>
      </c>
      <c r="O70" s="30">
        <f>K70*M70</f>
        <v>0.35323200000000204</v>
      </c>
      <c r="P70" s="49"/>
    </row>
    <row r="71" spans="2:16" x14ac:dyDescent="0.25">
      <c r="B71" s="45"/>
      <c r="K71" s="53"/>
      <c r="L71" s="53"/>
      <c r="M71" s="23"/>
      <c r="N71" s="22"/>
      <c r="O71" s="22"/>
      <c r="P71" s="49"/>
    </row>
    <row r="72" spans="2:16" x14ac:dyDescent="0.25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14"/>
    </row>
    <row r="74" spans="2:16" x14ac:dyDescent="0.25">
      <c r="B74" s="312" t="s">
        <v>158</v>
      </c>
      <c r="C74" s="312"/>
      <c r="D74" s="312"/>
      <c r="E74" s="312"/>
      <c r="F74" s="312"/>
    </row>
    <row r="75" spans="2:16" x14ac:dyDescent="0.25">
      <c r="B75" s="350" t="s">
        <v>281</v>
      </c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</row>
    <row r="91" spans="2:3" x14ac:dyDescent="0.25">
      <c r="B91" s="236" t="s">
        <v>92</v>
      </c>
      <c r="C91" s="236"/>
    </row>
  </sheetData>
  <mergeCells count="12">
    <mergeCell ref="H3:L3"/>
    <mergeCell ref="B62:C62"/>
    <mergeCell ref="B91:C91"/>
    <mergeCell ref="Q34:R61"/>
    <mergeCell ref="Q5:R32"/>
    <mergeCell ref="B63:P63"/>
    <mergeCell ref="C65:I65"/>
    <mergeCell ref="K65:O65"/>
    <mergeCell ref="B74:F74"/>
    <mergeCell ref="D1:P1"/>
    <mergeCell ref="B1:C1"/>
    <mergeCell ref="B75:O75"/>
  </mergeCells>
  <phoneticPr fontId="2" type="noConversion"/>
  <hyperlinks>
    <hyperlink ref="B3:F3" location="ConsistencyChart" display="Click here for the Averages Chart" xr:uid="{00000000-0004-0000-0400-000000000000}"/>
    <hyperlink ref="H3:J3" location="OpCharCLCalcs" display="Click here for the Control Limits Calculations" xr:uid="{00000000-0004-0000-0400-000001000000}"/>
    <hyperlink ref="B74:F74" location="'Critical Values'!A1" display="Appraiser Chart Critical Value Tables" xr:uid="{00000000-0004-0000-0400-000002000000}"/>
    <hyperlink ref="B62:C62" location="'Operator Charts'!A1" display="Back to top" xr:uid="{00000000-0004-0000-0400-000003000000}"/>
    <hyperlink ref="B91:C91" location="'Operator Charts'!A1" display="Back to top" xr:uid="{00000000-0004-0000-0400-000004000000}"/>
    <hyperlink ref="N3:R3" location="ResultsHome" display="Click here to go back to the Results" xr:uid="{00000000-0004-0000-0400-000005000000}"/>
  </hyperlinks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E86"/>
  <sheetViews>
    <sheetView showGridLines="0" showRowColHeaders="0" workbookViewId="0">
      <selection activeCell="B1" sqref="B1:L1"/>
    </sheetView>
  </sheetViews>
  <sheetFormatPr defaultRowHeight="12.5" x14ac:dyDescent="0.25"/>
  <cols>
    <col min="1" max="1" width="1.81640625" customWidth="1"/>
    <col min="2" max="12" width="9.81640625" customWidth="1"/>
    <col min="16" max="16" width="2.54296875" customWidth="1"/>
    <col min="18" max="33" width="0" hidden="1" customWidth="1"/>
  </cols>
  <sheetData>
    <row r="1" spans="2:31" ht="18.5" thickBot="1" x14ac:dyDescent="0.45">
      <c r="B1" s="336" t="e" vm="3">
        <v>#VALUE!</v>
      </c>
      <c r="C1" s="352" t="s">
        <v>239</v>
      </c>
      <c r="D1" s="352"/>
      <c r="E1" s="352"/>
      <c r="F1" s="352"/>
      <c r="G1" s="352"/>
      <c r="H1" s="352"/>
      <c r="I1" s="352"/>
      <c r="J1" s="352"/>
      <c r="K1" s="352"/>
      <c r="L1" s="352"/>
      <c r="M1" s="204"/>
      <c r="N1" s="204"/>
      <c r="O1" s="204"/>
      <c r="P1" s="204"/>
      <c r="Q1" s="107"/>
    </row>
    <row r="2" spans="2:31" ht="7.5" customHeight="1" x14ac:dyDescent="0.4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2:31" ht="12" customHeight="1" x14ac:dyDescent="0.4">
      <c r="B3" s="314" t="s">
        <v>190</v>
      </c>
      <c r="C3" s="314"/>
      <c r="D3" s="314"/>
      <c r="E3" s="314"/>
      <c r="F3" s="314" t="s">
        <v>91</v>
      </c>
      <c r="G3" s="314"/>
      <c r="H3" s="314"/>
      <c r="I3" s="314"/>
      <c r="J3" s="314"/>
      <c r="K3" s="157" t="s">
        <v>93</v>
      </c>
      <c r="L3" s="157"/>
      <c r="M3" s="157"/>
      <c r="N3" s="157"/>
      <c r="O3" s="157"/>
      <c r="P3" s="89"/>
    </row>
    <row r="4" spans="2:31" ht="6" customHeight="1" x14ac:dyDescent="0.25"/>
    <row r="5" spans="2:31" x14ac:dyDescent="0.25">
      <c r="M5" s="315" t="s">
        <v>269</v>
      </c>
      <c r="N5" s="315"/>
      <c r="O5" s="315"/>
      <c r="T5" s="2" t="s">
        <v>71</v>
      </c>
      <c r="U5" s="2" t="s">
        <v>72</v>
      </c>
      <c r="V5" s="2" t="s">
        <v>74</v>
      </c>
      <c r="W5" s="1" t="s">
        <v>78</v>
      </c>
      <c r="X5" s="1" t="s">
        <v>76</v>
      </c>
      <c r="Y5" s="1"/>
      <c r="Z5" s="2" t="s">
        <v>71</v>
      </c>
      <c r="AA5" s="2" t="s">
        <v>72</v>
      </c>
      <c r="AB5" s="2" t="s">
        <v>74</v>
      </c>
      <c r="AC5" s="1" t="s">
        <v>75</v>
      </c>
      <c r="AD5" s="1" t="s">
        <v>76</v>
      </c>
      <c r="AE5" s="1" t="s">
        <v>77</v>
      </c>
    </row>
    <row r="6" spans="2:31" x14ac:dyDescent="0.25">
      <c r="M6" s="315"/>
      <c r="N6" s="315"/>
      <c r="O6" s="315"/>
      <c r="S6" s="1">
        <v>1</v>
      </c>
      <c r="T6" s="61">
        <f ca="1">IF(SampSize&gt;=$S6,OFFSET(' Data Entry'!C$9,0,S6,1,1),"")</f>
        <v>0.5700000000000216</v>
      </c>
      <c r="U6" s="62"/>
      <c r="V6" s="62"/>
      <c r="W6" s="63">
        <f t="shared" ref="W6:W38" si="0">RDblBar</f>
        <v>0.52800000000000302</v>
      </c>
      <c r="X6" s="64">
        <f t="shared" ref="X6:X38" si="1">UCLR</f>
        <v>1.3596000000000079</v>
      </c>
      <c r="Y6" s="1"/>
      <c r="Z6" s="61">
        <f ca="1">IF(SampSize&gt;=$S6,OFFSET(' Data Entry'!C$8,0,S6,1,1),"")</f>
        <v>205.33666666666667</v>
      </c>
      <c r="AA6" s="62"/>
      <c r="AB6" s="62"/>
      <c r="AC6" s="65">
        <f t="shared" ref="AC6:AC38" ca="1" si="2">XDblBar</f>
        <v>205.4628888888889</v>
      </c>
      <c r="AD6" s="65">
        <f t="shared" ref="AD6:AD38" ca="1" si="3">UCLX</f>
        <v>206.0030328888889</v>
      </c>
      <c r="AE6" s="66">
        <f t="shared" ref="AE6:AE38" ca="1" si="4">LCLX</f>
        <v>204.9227448888889</v>
      </c>
    </row>
    <row r="7" spans="2:31" x14ac:dyDescent="0.25">
      <c r="M7" s="315"/>
      <c r="N7" s="315"/>
      <c r="O7" s="315"/>
      <c r="S7" s="1">
        <v>2</v>
      </c>
      <c r="T7" s="67">
        <f ca="1">IF(SampSize&gt;=$S7,OFFSET(' Data Entry'!C$9,0,S7,1,1),"")</f>
        <v>0.30000000000001137</v>
      </c>
      <c r="U7" s="1"/>
      <c r="V7" s="1"/>
      <c r="W7" s="24">
        <f t="shared" si="0"/>
        <v>0.52800000000000302</v>
      </c>
      <c r="X7" s="68">
        <f t="shared" si="1"/>
        <v>1.3596000000000079</v>
      </c>
      <c r="Y7" s="1"/>
      <c r="Z7" s="67">
        <f ca="1">IF(SampSize&gt;=$S7,OFFSET(' Data Entry'!C$8,0,S7,1,1),"")</f>
        <v>205.39000000000001</v>
      </c>
      <c r="AA7" s="1"/>
      <c r="AB7" s="1"/>
      <c r="AC7" s="21">
        <f t="shared" ca="1" si="2"/>
        <v>205.4628888888889</v>
      </c>
      <c r="AD7" s="21">
        <f t="shared" ca="1" si="3"/>
        <v>206.0030328888889</v>
      </c>
      <c r="AE7" s="69">
        <f t="shared" ca="1" si="4"/>
        <v>204.9227448888889</v>
      </c>
    </row>
    <row r="8" spans="2:31" x14ac:dyDescent="0.25">
      <c r="M8" s="315"/>
      <c r="N8" s="315"/>
      <c r="O8" s="315"/>
      <c r="S8" s="1">
        <v>3</v>
      </c>
      <c r="T8" s="67">
        <f ca="1">IF(SampSize&gt;=$S8,OFFSET(' Data Entry'!C$9,0,S8,1,1),"")</f>
        <v>0.85000000000002274</v>
      </c>
      <c r="U8" s="1"/>
      <c r="V8" s="1"/>
      <c r="W8" s="24">
        <f t="shared" si="0"/>
        <v>0.52800000000000302</v>
      </c>
      <c r="X8" s="68">
        <f t="shared" si="1"/>
        <v>1.3596000000000079</v>
      </c>
      <c r="Y8" s="1"/>
      <c r="Z8" s="67">
        <f ca="1">IF(SampSize&gt;=$S8,OFFSET(' Data Entry'!C$8,0,S8,1,1),"")</f>
        <v>205.64</v>
      </c>
      <c r="AA8" s="1"/>
      <c r="AB8" s="1"/>
      <c r="AC8" s="21">
        <f t="shared" ca="1" si="2"/>
        <v>205.4628888888889</v>
      </c>
      <c r="AD8" s="21">
        <f t="shared" ca="1" si="3"/>
        <v>206.0030328888889</v>
      </c>
      <c r="AE8" s="69">
        <f t="shared" ca="1" si="4"/>
        <v>204.9227448888889</v>
      </c>
    </row>
    <row r="9" spans="2:31" x14ac:dyDescent="0.25">
      <c r="M9" s="315"/>
      <c r="N9" s="315"/>
      <c r="O9" s="315"/>
      <c r="S9" s="1">
        <v>4</v>
      </c>
      <c r="T9" s="67">
        <f ca="1">IF(SampSize&gt;=$S9,OFFSET(' Data Entry'!C$9,0,S9,1,1),"")</f>
        <v>0.56999999999999318</v>
      </c>
      <c r="U9" s="1"/>
      <c r="V9" s="1"/>
      <c r="W9" s="24">
        <f t="shared" si="0"/>
        <v>0.52800000000000302</v>
      </c>
      <c r="X9" s="68">
        <f t="shared" si="1"/>
        <v>1.3596000000000079</v>
      </c>
      <c r="Y9" s="1"/>
      <c r="Z9" s="67">
        <f ca="1">IF(SampSize&gt;=$S9,OFFSET(' Data Entry'!C$8,0,S9,1,1),"")</f>
        <v>205.23333333333335</v>
      </c>
      <c r="AA9" s="1"/>
      <c r="AB9" s="1"/>
      <c r="AC9" s="21">
        <f t="shared" ca="1" si="2"/>
        <v>205.4628888888889</v>
      </c>
      <c r="AD9" s="21">
        <f t="shared" ca="1" si="3"/>
        <v>206.0030328888889</v>
      </c>
      <c r="AE9" s="69">
        <f t="shared" ca="1" si="4"/>
        <v>204.9227448888889</v>
      </c>
    </row>
    <row r="10" spans="2:31" x14ac:dyDescent="0.25">
      <c r="M10" s="315"/>
      <c r="N10" s="315"/>
      <c r="O10" s="315"/>
      <c r="S10" s="1">
        <v>5</v>
      </c>
      <c r="T10" s="67">
        <f ca="1">IF(SampSize&gt;=$S10,OFFSET(' Data Entry'!C$9,0,S10,1,1),"")</f>
        <v>0.5</v>
      </c>
      <c r="U10" s="1"/>
      <c r="V10" s="1"/>
      <c r="W10" s="24">
        <f t="shared" si="0"/>
        <v>0.52800000000000302</v>
      </c>
      <c r="X10" s="68">
        <f t="shared" si="1"/>
        <v>1.3596000000000079</v>
      </c>
      <c r="Y10" s="1"/>
      <c r="Z10" s="67">
        <f ca="1">IF(SampSize&gt;=$S10,OFFSET(' Data Entry'!C$8,0,S10,1,1),"")</f>
        <v>205.65</v>
      </c>
      <c r="AA10" s="1"/>
      <c r="AB10" s="1"/>
      <c r="AC10" s="21">
        <f t="shared" ca="1" si="2"/>
        <v>205.4628888888889</v>
      </c>
      <c r="AD10" s="21">
        <f t="shared" ca="1" si="3"/>
        <v>206.0030328888889</v>
      </c>
      <c r="AE10" s="69">
        <f t="shared" ca="1" si="4"/>
        <v>204.9227448888889</v>
      </c>
    </row>
    <row r="11" spans="2:31" x14ac:dyDescent="0.25">
      <c r="M11" s="315"/>
      <c r="N11" s="315"/>
      <c r="O11" s="315"/>
      <c r="S11" s="1">
        <v>6</v>
      </c>
      <c r="T11" s="67">
        <f ca="1">IF(SampSize&gt;=$S11,OFFSET(' Data Entry'!C$9,0,S11,1,1),"")</f>
        <v>0.30000000000001137</v>
      </c>
      <c r="U11" s="1"/>
      <c r="V11" s="1"/>
      <c r="W11" s="24">
        <f t="shared" si="0"/>
        <v>0.52800000000000302</v>
      </c>
      <c r="X11" s="68">
        <f t="shared" si="1"/>
        <v>1.3596000000000079</v>
      </c>
      <c r="Y11" s="1"/>
      <c r="Z11" s="67">
        <f ca="1">IF(SampSize&gt;=$S11,OFFSET(' Data Entry'!C$8,0,S11,1,1),"")</f>
        <v>205.38666666666666</v>
      </c>
      <c r="AA11" s="1"/>
      <c r="AB11" s="1"/>
      <c r="AC11" s="21">
        <f t="shared" ca="1" si="2"/>
        <v>205.4628888888889</v>
      </c>
      <c r="AD11" s="21">
        <f t="shared" ca="1" si="3"/>
        <v>206.0030328888889</v>
      </c>
      <c r="AE11" s="69">
        <f t="shared" ca="1" si="4"/>
        <v>204.9227448888889</v>
      </c>
    </row>
    <row r="12" spans="2:31" x14ac:dyDescent="0.25">
      <c r="M12" s="315"/>
      <c r="N12" s="315"/>
      <c r="O12" s="315"/>
      <c r="S12" s="1">
        <v>7</v>
      </c>
      <c r="T12" s="67">
        <f ca="1">IF(SampSize&gt;=$S12,OFFSET(' Data Entry'!C$9,0,S12,1,1),"")</f>
        <v>0.53999999999999204</v>
      </c>
      <c r="U12" s="1"/>
      <c r="V12" s="1"/>
      <c r="W12" s="24">
        <f t="shared" si="0"/>
        <v>0.52800000000000302</v>
      </c>
      <c r="X12" s="68">
        <f t="shared" si="1"/>
        <v>1.3596000000000079</v>
      </c>
      <c r="Y12" s="1"/>
      <c r="Z12" s="67">
        <f ca="1">IF(SampSize&gt;=$S12,OFFSET(' Data Entry'!C$8,0,S12,1,1),"")</f>
        <v>205.36666666666665</v>
      </c>
      <c r="AA12" s="1"/>
      <c r="AB12" s="1"/>
      <c r="AC12" s="21">
        <f t="shared" ca="1" si="2"/>
        <v>205.4628888888889</v>
      </c>
      <c r="AD12" s="21">
        <f t="shared" ca="1" si="3"/>
        <v>206.0030328888889</v>
      </c>
      <c r="AE12" s="69">
        <f t="shared" ca="1" si="4"/>
        <v>204.9227448888889</v>
      </c>
    </row>
    <row r="13" spans="2:31" x14ac:dyDescent="0.25">
      <c r="M13" s="315"/>
      <c r="N13" s="315"/>
      <c r="O13" s="315"/>
      <c r="S13" s="1">
        <v>8</v>
      </c>
      <c r="T13" s="67">
        <f ca="1">IF(SampSize&gt;=$S13,OFFSET(' Data Entry'!C$9,0,S13,1,1),"")</f>
        <v>0.87999999999999545</v>
      </c>
      <c r="U13" s="1"/>
      <c r="V13" s="1"/>
      <c r="W13" s="24">
        <f t="shared" si="0"/>
        <v>0.52800000000000302</v>
      </c>
      <c r="X13" s="68">
        <f t="shared" si="1"/>
        <v>1.3596000000000079</v>
      </c>
      <c r="Y13" s="1"/>
      <c r="Z13" s="67">
        <f ca="1">IF(SampSize&gt;=$S13,OFFSET(' Data Entry'!C$8,0,S13,1,1),"")</f>
        <v>205.51666666666665</v>
      </c>
      <c r="AA13" s="1"/>
      <c r="AB13" s="1"/>
      <c r="AC13" s="21">
        <f t="shared" ca="1" si="2"/>
        <v>205.4628888888889</v>
      </c>
      <c r="AD13" s="21">
        <f t="shared" ca="1" si="3"/>
        <v>206.0030328888889</v>
      </c>
      <c r="AE13" s="69">
        <f t="shared" ca="1" si="4"/>
        <v>204.9227448888889</v>
      </c>
    </row>
    <row r="14" spans="2:31" x14ac:dyDescent="0.25">
      <c r="M14" s="315"/>
      <c r="N14" s="315"/>
      <c r="O14" s="315"/>
      <c r="S14" s="1">
        <v>9</v>
      </c>
      <c r="T14" s="67">
        <f ca="1">IF(SampSize&gt;=$S14,OFFSET(' Data Entry'!C$9,0,S14,1,1),"")</f>
        <v>0.81999999999999318</v>
      </c>
      <c r="U14" s="1"/>
      <c r="V14" s="1"/>
      <c r="W14" s="24">
        <f t="shared" si="0"/>
        <v>0.52800000000000302</v>
      </c>
      <c r="X14" s="68">
        <f t="shared" si="1"/>
        <v>1.3596000000000079</v>
      </c>
      <c r="Y14" s="1"/>
      <c r="Z14" s="67">
        <f ca="1">IF(SampSize&gt;=$S14,OFFSET(' Data Entry'!C$8,0,S14,1,1),"")</f>
        <v>205.65333333333334</v>
      </c>
      <c r="AA14" s="1"/>
      <c r="AB14" s="1"/>
      <c r="AC14" s="21">
        <f t="shared" ca="1" si="2"/>
        <v>205.4628888888889</v>
      </c>
      <c r="AD14" s="21">
        <f t="shared" ca="1" si="3"/>
        <v>206.0030328888889</v>
      </c>
      <c r="AE14" s="69">
        <f t="shared" ca="1" si="4"/>
        <v>204.9227448888889</v>
      </c>
    </row>
    <row r="15" spans="2:31" x14ac:dyDescent="0.25">
      <c r="M15" s="315"/>
      <c r="N15" s="315"/>
      <c r="O15" s="315"/>
      <c r="S15" s="1">
        <v>10</v>
      </c>
      <c r="T15" s="67">
        <f ca="1">IF(SampSize&gt;=$S15,OFFSET(' Data Entry'!C$9,0,S15,1,1),"")</f>
        <v>0.46999999999999886</v>
      </c>
      <c r="U15" s="1"/>
      <c r="V15" s="1"/>
      <c r="W15" s="24">
        <f t="shared" si="0"/>
        <v>0.52800000000000302</v>
      </c>
      <c r="X15" s="68">
        <f t="shared" si="1"/>
        <v>1.3596000000000079</v>
      </c>
      <c r="Y15" s="1"/>
      <c r="Z15" s="67">
        <f ca="1">IF(SampSize&gt;=$S15,OFFSET(' Data Entry'!C$8,0,S15,1,1),"")</f>
        <v>205.37666666666667</v>
      </c>
      <c r="AA15" s="1"/>
      <c r="AB15" s="1"/>
      <c r="AC15" s="21">
        <f t="shared" ca="1" si="2"/>
        <v>205.4628888888889</v>
      </c>
      <c r="AD15" s="21">
        <f t="shared" ca="1" si="3"/>
        <v>206.0030328888889</v>
      </c>
      <c r="AE15" s="69">
        <f t="shared" ca="1" si="4"/>
        <v>204.9227448888889</v>
      </c>
    </row>
    <row r="16" spans="2:31" x14ac:dyDescent="0.25">
      <c r="M16" s="315"/>
      <c r="N16" s="315"/>
      <c r="O16" s="315"/>
      <c r="S16" s="1"/>
      <c r="T16" s="67"/>
      <c r="U16" s="1"/>
      <c r="V16" s="1"/>
      <c r="W16" s="24">
        <f t="shared" si="0"/>
        <v>0.52800000000000302</v>
      </c>
      <c r="X16" s="68">
        <f t="shared" si="1"/>
        <v>1.3596000000000079</v>
      </c>
      <c r="Y16" s="1"/>
      <c r="Z16" s="67"/>
      <c r="AA16" s="1"/>
      <c r="AB16" s="1"/>
      <c r="AC16" s="21">
        <f t="shared" ca="1" si="2"/>
        <v>205.4628888888889</v>
      </c>
      <c r="AD16" s="21">
        <f t="shared" ca="1" si="3"/>
        <v>206.0030328888889</v>
      </c>
      <c r="AE16" s="69">
        <f t="shared" ca="1" si="4"/>
        <v>204.9227448888889</v>
      </c>
    </row>
    <row r="17" spans="13:31" x14ac:dyDescent="0.25">
      <c r="M17" s="315"/>
      <c r="N17" s="315"/>
      <c r="O17" s="315"/>
      <c r="S17" s="1">
        <v>1</v>
      </c>
      <c r="T17" s="70"/>
      <c r="U17" s="21">
        <f ca="1">IF(SampSize&gt;=$S17,OFFSET(' Data Entry'!C$17,0,S17,1,1),"")</f>
        <v>0.80000000000001137</v>
      </c>
      <c r="V17" s="1"/>
      <c r="W17" s="24">
        <f t="shared" si="0"/>
        <v>0.52800000000000302</v>
      </c>
      <c r="X17" s="68">
        <f t="shared" si="1"/>
        <v>1.3596000000000079</v>
      </c>
      <c r="Y17" s="1"/>
      <c r="Z17" s="70"/>
      <c r="AA17" s="21">
        <f ca="1">IF(SampSize&gt;=$S17,OFFSET(' Data Entry'!C$16,0,S17,1,1),"")</f>
        <v>205.62333333333333</v>
      </c>
      <c r="AB17" s="1"/>
      <c r="AC17" s="21">
        <f t="shared" ca="1" si="2"/>
        <v>205.4628888888889</v>
      </c>
      <c r="AD17" s="21">
        <f t="shared" ca="1" si="3"/>
        <v>206.0030328888889</v>
      </c>
      <c r="AE17" s="69">
        <f t="shared" ca="1" si="4"/>
        <v>204.9227448888889</v>
      </c>
    </row>
    <row r="18" spans="13:31" x14ac:dyDescent="0.25">
      <c r="M18" s="315"/>
      <c r="N18" s="315"/>
      <c r="O18" s="315"/>
      <c r="S18" s="1">
        <v>2</v>
      </c>
      <c r="T18" s="70"/>
      <c r="U18" s="21">
        <f ca="1">IF(SampSize&gt;=$S18,OFFSET(' Data Entry'!C$17,0,S18,1,1),"")</f>
        <v>0.53000000000000114</v>
      </c>
      <c r="V18" s="1"/>
      <c r="W18" s="24">
        <f t="shared" si="0"/>
        <v>0.52800000000000302</v>
      </c>
      <c r="X18" s="68">
        <f t="shared" si="1"/>
        <v>1.3596000000000079</v>
      </c>
      <c r="Y18" s="1"/>
      <c r="Z18" s="70"/>
      <c r="AA18" s="21">
        <f ca="1">IF(SampSize&gt;=$S18,OFFSET(' Data Entry'!C$16,0,S18,1,1),"")</f>
        <v>205.58666666666667</v>
      </c>
      <c r="AB18" s="1"/>
      <c r="AC18" s="21">
        <f t="shared" ca="1" si="2"/>
        <v>205.4628888888889</v>
      </c>
      <c r="AD18" s="21">
        <f t="shared" ca="1" si="3"/>
        <v>206.0030328888889</v>
      </c>
      <c r="AE18" s="69">
        <f t="shared" ca="1" si="4"/>
        <v>204.9227448888889</v>
      </c>
    </row>
    <row r="19" spans="13:31" x14ac:dyDescent="0.25">
      <c r="M19" s="315"/>
      <c r="N19" s="315"/>
      <c r="O19" s="315"/>
      <c r="S19" s="1">
        <v>3</v>
      </c>
      <c r="T19" s="70"/>
      <c r="U19" s="21">
        <f ca="1">IF(SampSize&gt;=$S19,OFFSET(' Data Entry'!C$17,0,S19,1,1),"")</f>
        <v>0.27000000000001023</v>
      </c>
      <c r="V19" s="1"/>
      <c r="W19" s="24">
        <f t="shared" si="0"/>
        <v>0.52800000000000302</v>
      </c>
      <c r="X19" s="68">
        <f t="shared" si="1"/>
        <v>1.3596000000000079</v>
      </c>
      <c r="Y19" s="1"/>
      <c r="Z19" s="70"/>
      <c r="AA19" s="21">
        <f ca="1">IF(SampSize&gt;=$S19,OFFSET(' Data Entry'!C$16,0,S19,1,1),"")</f>
        <v>205.13333333333333</v>
      </c>
      <c r="AB19" s="1"/>
      <c r="AC19" s="21">
        <f t="shared" ca="1" si="2"/>
        <v>205.4628888888889</v>
      </c>
      <c r="AD19" s="21">
        <f t="shared" ca="1" si="3"/>
        <v>206.0030328888889</v>
      </c>
      <c r="AE19" s="69">
        <f t="shared" ca="1" si="4"/>
        <v>204.9227448888889</v>
      </c>
    </row>
    <row r="20" spans="13:31" x14ac:dyDescent="0.25">
      <c r="M20" s="315"/>
      <c r="N20" s="315"/>
      <c r="O20" s="315"/>
      <c r="S20" s="1">
        <v>4</v>
      </c>
      <c r="T20" s="70"/>
      <c r="U20" s="21">
        <f ca="1">IF(SampSize&gt;=$S20,OFFSET(' Data Entry'!C$17,0,S20,1,1),"")</f>
        <v>0.68999999999999773</v>
      </c>
      <c r="V20" s="1"/>
      <c r="W20" s="24">
        <f t="shared" si="0"/>
        <v>0.52800000000000302</v>
      </c>
      <c r="X20" s="68">
        <f t="shared" si="1"/>
        <v>1.3596000000000079</v>
      </c>
      <c r="Y20" s="1"/>
      <c r="Z20" s="70"/>
      <c r="AA20" s="21">
        <f ca="1">IF(SampSize&gt;=$S20,OFFSET(' Data Entry'!C$16,0,S20,1,1),"")</f>
        <v>205.33333333333334</v>
      </c>
      <c r="AB20" s="1"/>
      <c r="AC20" s="21">
        <f t="shared" ca="1" si="2"/>
        <v>205.4628888888889</v>
      </c>
      <c r="AD20" s="21">
        <f t="shared" ca="1" si="3"/>
        <v>206.0030328888889</v>
      </c>
      <c r="AE20" s="69">
        <f t="shared" ca="1" si="4"/>
        <v>204.9227448888889</v>
      </c>
    </row>
    <row r="21" spans="13:31" x14ac:dyDescent="0.25">
      <c r="M21" s="315"/>
      <c r="N21" s="315"/>
      <c r="O21" s="315"/>
      <c r="S21" s="1">
        <v>5</v>
      </c>
      <c r="T21" s="70"/>
      <c r="U21" s="21">
        <f ca="1">IF(SampSize&gt;=$S21,OFFSET(' Data Entry'!C$17,0,S21,1,1),"")</f>
        <v>0.65000000000000568</v>
      </c>
      <c r="V21" s="1"/>
      <c r="W21" s="24">
        <f t="shared" si="0"/>
        <v>0.52800000000000302</v>
      </c>
      <c r="X21" s="68">
        <f t="shared" si="1"/>
        <v>1.3596000000000079</v>
      </c>
      <c r="Y21" s="1"/>
      <c r="Z21" s="70"/>
      <c r="AA21" s="21">
        <f ca="1">IF(SampSize&gt;=$S21,OFFSET(' Data Entry'!C$16,0,S21,1,1),"")</f>
        <v>205.69000000000003</v>
      </c>
      <c r="AB21" s="1"/>
      <c r="AC21" s="21">
        <f t="shared" ca="1" si="2"/>
        <v>205.4628888888889</v>
      </c>
      <c r="AD21" s="21">
        <f t="shared" ca="1" si="3"/>
        <v>206.0030328888889</v>
      </c>
      <c r="AE21" s="69">
        <f t="shared" ca="1" si="4"/>
        <v>204.9227448888889</v>
      </c>
    </row>
    <row r="22" spans="13:31" x14ac:dyDescent="0.25">
      <c r="M22" s="315"/>
      <c r="N22" s="315"/>
      <c r="O22" s="315"/>
      <c r="S22" s="1">
        <v>6</v>
      </c>
      <c r="T22" s="70"/>
      <c r="U22" s="21">
        <f ca="1">IF(SampSize&gt;=$S22,OFFSET(' Data Entry'!C$17,0,S22,1,1),"")</f>
        <v>0.28999999999999204</v>
      </c>
      <c r="V22" s="1"/>
      <c r="W22" s="24">
        <f t="shared" si="0"/>
        <v>0.52800000000000302</v>
      </c>
      <c r="X22" s="68">
        <f t="shared" si="1"/>
        <v>1.3596000000000079</v>
      </c>
      <c r="Y22" s="1"/>
      <c r="Z22" s="70"/>
      <c r="AA22" s="21">
        <f ca="1">IF(SampSize&gt;=$S22,OFFSET(' Data Entry'!C$16,0,S22,1,1),"")</f>
        <v>205.38333333333333</v>
      </c>
      <c r="AB22" s="1"/>
      <c r="AC22" s="21">
        <f t="shared" ca="1" si="2"/>
        <v>205.4628888888889</v>
      </c>
      <c r="AD22" s="21">
        <f t="shared" ca="1" si="3"/>
        <v>206.0030328888889</v>
      </c>
      <c r="AE22" s="69">
        <f t="shared" ca="1" si="4"/>
        <v>204.9227448888889</v>
      </c>
    </row>
    <row r="23" spans="13:31" x14ac:dyDescent="0.25">
      <c r="M23" s="315"/>
      <c r="N23" s="315"/>
      <c r="O23" s="315"/>
      <c r="S23" s="1">
        <v>7</v>
      </c>
      <c r="T23" s="70"/>
      <c r="U23" s="21">
        <f ca="1">IF(SampSize&gt;=$S23,OFFSET(' Data Entry'!C$17,0,S23,1,1),"")</f>
        <v>0.20000000000001705</v>
      </c>
      <c r="V23" s="1"/>
      <c r="W23" s="24">
        <f t="shared" si="0"/>
        <v>0.52800000000000302</v>
      </c>
      <c r="X23" s="68">
        <f t="shared" si="1"/>
        <v>1.3596000000000079</v>
      </c>
      <c r="Y23" s="1"/>
      <c r="Z23" s="70"/>
      <c r="AA23" s="21">
        <f ca="1">IF(SampSize&gt;=$S23,OFFSET(' Data Entry'!C$16,0,S23,1,1),"")</f>
        <v>205.70000000000002</v>
      </c>
      <c r="AB23" s="1"/>
      <c r="AC23" s="21">
        <f t="shared" ca="1" si="2"/>
        <v>205.4628888888889</v>
      </c>
      <c r="AD23" s="21">
        <f t="shared" ca="1" si="3"/>
        <v>206.0030328888889</v>
      </c>
      <c r="AE23" s="69">
        <f t="shared" ca="1" si="4"/>
        <v>204.9227448888889</v>
      </c>
    </row>
    <row r="24" spans="13:31" x14ac:dyDescent="0.25">
      <c r="M24" s="315"/>
      <c r="N24" s="315"/>
      <c r="O24" s="315"/>
      <c r="S24" s="1">
        <v>8</v>
      </c>
      <c r="T24" s="70"/>
      <c r="U24" s="21">
        <f ca="1">IF(SampSize&gt;=$S24,OFFSET(' Data Entry'!C$17,0,S24,1,1),"")</f>
        <v>0.94999999999998863</v>
      </c>
      <c r="V24" s="1"/>
      <c r="W24" s="24">
        <f t="shared" si="0"/>
        <v>0.52800000000000302</v>
      </c>
      <c r="X24" s="68">
        <f t="shared" si="1"/>
        <v>1.3596000000000079</v>
      </c>
      <c r="Y24" s="1"/>
      <c r="Z24" s="70"/>
      <c r="AA24" s="21">
        <f ca="1">IF(SampSize&gt;=$S24,OFFSET(' Data Entry'!C$16,0,S24,1,1),"")</f>
        <v>205.46</v>
      </c>
      <c r="AB24" s="1"/>
      <c r="AC24" s="21">
        <f t="shared" ca="1" si="2"/>
        <v>205.4628888888889</v>
      </c>
      <c r="AD24" s="21">
        <f t="shared" ca="1" si="3"/>
        <v>206.0030328888889</v>
      </c>
      <c r="AE24" s="69">
        <f t="shared" ca="1" si="4"/>
        <v>204.9227448888889</v>
      </c>
    </row>
    <row r="25" spans="13:31" x14ac:dyDescent="0.25">
      <c r="M25" s="315"/>
      <c r="N25" s="315"/>
      <c r="O25" s="315"/>
      <c r="S25" s="1">
        <v>9</v>
      </c>
      <c r="T25" s="70"/>
      <c r="U25" s="21">
        <f ca="1">IF(SampSize&gt;=$S25,OFFSET(' Data Entry'!C$17,0,S25,1,1),"")</f>
        <v>0.46000000000000796</v>
      </c>
      <c r="V25" s="1"/>
      <c r="W25" s="24">
        <f t="shared" si="0"/>
        <v>0.52800000000000302</v>
      </c>
      <c r="X25" s="68">
        <f t="shared" si="1"/>
        <v>1.3596000000000079</v>
      </c>
      <c r="Y25" s="1"/>
      <c r="Z25" s="70"/>
      <c r="AA25" s="21">
        <f ca="1">IF(SampSize&gt;=$S25,OFFSET(' Data Entry'!C$16,0,S25,1,1),"")</f>
        <v>205.49</v>
      </c>
      <c r="AB25" s="1"/>
      <c r="AC25" s="21">
        <f t="shared" ca="1" si="2"/>
        <v>205.4628888888889</v>
      </c>
      <c r="AD25" s="21">
        <f t="shared" ca="1" si="3"/>
        <v>206.0030328888889</v>
      </c>
      <c r="AE25" s="69">
        <f t="shared" ca="1" si="4"/>
        <v>204.9227448888889</v>
      </c>
    </row>
    <row r="26" spans="13:31" x14ac:dyDescent="0.25">
      <c r="M26" s="315"/>
      <c r="N26" s="315"/>
      <c r="O26" s="315"/>
      <c r="S26" s="1">
        <v>10</v>
      </c>
      <c r="T26" s="70"/>
      <c r="U26" s="21">
        <f ca="1">IF(SampSize&gt;=$S26,OFFSET(' Data Entry'!C$17,0,S26,1,1),"")</f>
        <v>0.36000000000001364</v>
      </c>
      <c r="V26" s="1"/>
      <c r="W26" s="24">
        <f t="shared" si="0"/>
        <v>0.52800000000000302</v>
      </c>
      <c r="X26" s="68">
        <f t="shared" si="1"/>
        <v>1.3596000000000079</v>
      </c>
      <c r="Y26" s="1"/>
      <c r="Z26" s="70"/>
      <c r="AA26" s="21">
        <f ca="1">IF(SampSize&gt;=$S26,OFFSET(' Data Entry'!C$16,0,S26,1,1),"")</f>
        <v>205.17666666666665</v>
      </c>
      <c r="AB26" s="1"/>
      <c r="AC26" s="21">
        <f t="shared" ca="1" si="2"/>
        <v>205.4628888888889</v>
      </c>
      <c r="AD26" s="21">
        <f t="shared" ca="1" si="3"/>
        <v>206.0030328888889</v>
      </c>
      <c r="AE26" s="69">
        <f t="shared" ca="1" si="4"/>
        <v>204.9227448888889</v>
      </c>
    </row>
    <row r="27" spans="13:31" x14ac:dyDescent="0.25">
      <c r="M27" s="315"/>
      <c r="N27" s="315"/>
      <c r="O27" s="315"/>
      <c r="S27" s="1"/>
      <c r="T27" s="70"/>
      <c r="U27" s="21"/>
      <c r="V27" s="1"/>
      <c r="W27" s="24">
        <f t="shared" si="0"/>
        <v>0.52800000000000302</v>
      </c>
      <c r="X27" s="68">
        <f t="shared" si="1"/>
        <v>1.3596000000000079</v>
      </c>
      <c r="Y27" s="1"/>
      <c r="Z27" s="70"/>
      <c r="AA27" s="21"/>
      <c r="AB27" s="1"/>
      <c r="AC27" s="21">
        <f t="shared" ca="1" si="2"/>
        <v>205.4628888888889</v>
      </c>
      <c r="AD27" s="21">
        <f t="shared" ca="1" si="3"/>
        <v>206.0030328888889</v>
      </c>
      <c r="AE27" s="69">
        <f t="shared" ca="1" si="4"/>
        <v>204.9227448888889</v>
      </c>
    </row>
    <row r="28" spans="13:31" x14ac:dyDescent="0.25">
      <c r="M28" s="315"/>
      <c r="N28" s="315"/>
      <c r="O28" s="315"/>
      <c r="S28" s="1">
        <v>1</v>
      </c>
      <c r="T28" s="70"/>
      <c r="U28" s="1"/>
      <c r="V28" s="21">
        <f ca="1">IF(AND(NumAppraisers=3,SampSize&gt;=$S28),OFFSET(' Data Entry'!C$25,0,S28,1,1),"")</f>
        <v>0.57999999999998408</v>
      </c>
      <c r="W28" s="24">
        <f t="shared" si="0"/>
        <v>0.52800000000000302</v>
      </c>
      <c r="X28" s="68">
        <f t="shared" si="1"/>
        <v>1.3596000000000079</v>
      </c>
      <c r="Y28" s="1"/>
      <c r="Z28" s="70"/>
      <c r="AA28" s="1"/>
      <c r="AB28" s="21">
        <f ca="1">IF(AND(NumAppraisers=3,SampSize&gt;=$S28),OFFSET(' Data Entry'!C$24,0,S28,1,1),"")</f>
        <v>205.45666666666668</v>
      </c>
      <c r="AC28" s="21">
        <f t="shared" ca="1" si="2"/>
        <v>205.4628888888889</v>
      </c>
      <c r="AD28" s="21">
        <f t="shared" ca="1" si="3"/>
        <v>206.0030328888889</v>
      </c>
      <c r="AE28" s="69">
        <f t="shared" ca="1" si="4"/>
        <v>204.9227448888889</v>
      </c>
    </row>
    <row r="29" spans="13:31" x14ac:dyDescent="0.25">
      <c r="M29" s="315"/>
      <c r="N29" s="315"/>
      <c r="O29" s="315"/>
      <c r="S29" s="1">
        <v>2</v>
      </c>
      <c r="T29" s="70"/>
      <c r="U29" s="1"/>
      <c r="V29" s="21">
        <f ca="1">IF(AND(NumAppraisers=3,SampSize&gt;=$S29),OFFSET(' Data Entry'!C$25,0,S29,1,1),"")</f>
        <v>0.78999999999999204</v>
      </c>
      <c r="W29" s="24">
        <f t="shared" si="0"/>
        <v>0.52800000000000302</v>
      </c>
      <c r="X29" s="68">
        <f t="shared" si="1"/>
        <v>1.3596000000000079</v>
      </c>
      <c r="Y29" s="1"/>
      <c r="Z29" s="70"/>
      <c r="AA29" s="1"/>
      <c r="AB29" s="21">
        <f ca="1">IF(AND(NumAppraisers=3,SampSize&gt;=$S29),OFFSET(' Data Entry'!C$24,0,S29,1,1),"")</f>
        <v>205.51999999999998</v>
      </c>
      <c r="AC29" s="21">
        <f t="shared" ca="1" si="2"/>
        <v>205.4628888888889</v>
      </c>
      <c r="AD29" s="21">
        <f t="shared" ca="1" si="3"/>
        <v>206.0030328888889</v>
      </c>
      <c r="AE29" s="69">
        <f t="shared" ca="1" si="4"/>
        <v>204.9227448888889</v>
      </c>
    </row>
    <row r="30" spans="13:31" x14ac:dyDescent="0.25">
      <c r="M30" s="315"/>
      <c r="N30" s="315"/>
      <c r="O30" s="315"/>
      <c r="S30" s="1">
        <v>3</v>
      </c>
      <c r="T30" s="70"/>
      <c r="U30" s="1"/>
      <c r="V30" s="21">
        <f ca="1">IF(AND(NumAppraisers=3,SampSize&gt;=$S30),OFFSET(' Data Entry'!C$25,0,S30,1,1),"")</f>
        <v>0.26000000000001933</v>
      </c>
      <c r="W30" s="24">
        <f t="shared" si="0"/>
        <v>0.52800000000000302</v>
      </c>
      <c r="X30" s="68">
        <f t="shared" si="1"/>
        <v>1.3596000000000079</v>
      </c>
      <c r="Y30" s="1"/>
      <c r="Z30" s="70"/>
      <c r="AA30" s="1"/>
      <c r="AB30" s="21">
        <f ca="1">IF(AND(NumAppraisers=3,SampSize&gt;=$S30),OFFSET(' Data Entry'!C$24,0,S30,1,1),"")</f>
        <v>205.42</v>
      </c>
      <c r="AC30" s="21">
        <f t="shared" ca="1" si="2"/>
        <v>205.4628888888889</v>
      </c>
      <c r="AD30" s="21">
        <f t="shared" ca="1" si="3"/>
        <v>206.0030328888889</v>
      </c>
      <c r="AE30" s="69">
        <f t="shared" ca="1" si="4"/>
        <v>204.9227448888889</v>
      </c>
    </row>
    <row r="31" spans="13:31" x14ac:dyDescent="0.25">
      <c r="M31" s="315"/>
      <c r="N31" s="315"/>
      <c r="O31" s="315"/>
      <c r="S31" s="1">
        <v>4</v>
      </c>
      <c r="T31" s="70"/>
      <c r="U31" s="1"/>
      <c r="V31" s="21">
        <f ca="1">IF(AND(NumAppraisers=3,SampSize&gt;=$S31),OFFSET(' Data Entry'!C$25,0,S31,1,1),"")</f>
        <v>0.35000000000002274</v>
      </c>
      <c r="W31" s="24">
        <f t="shared" si="0"/>
        <v>0.52800000000000302</v>
      </c>
      <c r="X31" s="68">
        <f t="shared" si="1"/>
        <v>1.3596000000000079</v>
      </c>
      <c r="Y31" s="1"/>
      <c r="Z31" s="70"/>
      <c r="AA31" s="1"/>
      <c r="AB31" s="21">
        <f ca="1">IF(AND(NumAppraisers=3,SampSize&gt;=$S31),OFFSET(' Data Entry'!C$24,0,S31,1,1),"")</f>
        <v>205.27666666666664</v>
      </c>
      <c r="AC31" s="21">
        <f t="shared" ca="1" si="2"/>
        <v>205.4628888888889</v>
      </c>
      <c r="AD31" s="21">
        <f t="shared" ca="1" si="3"/>
        <v>206.0030328888889</v>
      </c>
      <c r="AE31" s="69">
        <f t="shared" ca="1" si="4"/>
        <v>204.9227448888889</v>
      </c>
    </row>
    <row r="32" spans="13:31" x14ac:dyDescent="0.25">
      <c r="M32" s="315"/>
      <c r="N32" s="315"/>
      <c r="O32" s="315"/>
      <c r="S32" s="1">
        <v>5</v>
      </c>
      <c r="T32" s="70"/>
      <c r="U32" s="1"/>
      <c r="V32" s="21">
        <f ca="1">IF(AND(NumAppraisers=3,SampSize&gt;=$S32),OFFSET(' Data Entry'!C$25,0,S32,1,1),"")</f>
        <v>0.25999999999999091</v>
      </c>
      <c r="W32" s="24">
        <f t="shared" si="0"/>
        <v>0.52800000000000302</v>
      </c>
      <c r="X32" s="68">
        <f t="shared" si="1"/>
        <v>1.3596000000000079</v>
      </c>
      <c r="Y32" s="1"/>
      <c r="Z32" s="70"/>
      <c r="AA32" s="1"/>
      <c r="AB32" s="21">
        <f ca="1">IF(AND(NumAppraisers=3,SampSize&gt;=$S32),OFFSET(' Data Entry'!C$24,0,S32,1,1),"")</f>
        <v>205.36666666666667</v>
      </c>
      <c r="AC32" s="21">
        <f t="shared" ca="1" si="2"/>
        <v>205.4628888888889</v>
      </c>
      <c r="AD32" s="21">
        <f t="shared" ca="1" si="3"/>
        <v>206.0030328888889</v>
      </c>
      <c r="AE32" s="69">
        <f t="shared" ca="1" si="4"/>
        <v>204.9227448888889</v>
      </c>
    </row>
    <row r="33" spans="13:31" x14ac:dyDescent="0.25">
      <c r="M33" s="315"/>
      <c r="N33" s="315"/>
      <c r="O33" s="315"/>
      <c r="S33" s="1">
        <v>6</v>
      </c>
      <c r="T33" s="70"/>
      <c r="U33" s="1"/>
      <c r="V33" s="21">
        <f ca="1">IF(AND(NumAppraisers=3,SampSize&gt;=$S33),OFFSET(' Data Entry'!C$25,0,S33,1,1),"")</f>
        <v>0.11999999999997613</v>
      </c>
      <c r="W33" s="24">
        <f t="shared" si="0"/>
        <v>0.52800000000000302</v>
      </c>
      <c r="X33" s="68">
        <f t="shared" si="1"/>
        <v>1.3596000000000079</v>
      </c>
      <c r="Y33" s="1"/>
      <c r="Z33" s="70"/>
      <c r="AA33" s="1"/>
      <c r="AB33" s="21">
        <f ca="1">IF(AND(NumAppraisers=3,SampSize&gt;=$S33),OFFSET(' Data Entry'!C$24,0,S33,1,1),"")</f>
        <v>205.92333333333332</v>
      </c>
      <c r="AC33" s="21">
        <f t="shared" ca="1" si="2"/>
        <v>205.4628888888889</v>
      </c>
      <c r="AD33" s="21">
        <f t="shared" ca="1" si="3"/>
        <v>206.0030328888889</v>
      </c>
      <c r="AE33" s="69">
        <f t="shared" ca="1" si="4"/>
        <v>204.9227448888889</v>
      </c>
    </row>
    <row r="34" spans="13:31" x14ac:dyDescent="0.25">
      <c r="S34" s="1">
        <v>7</v>
      </c>
      <c r="T34" s="70"/>
      <c r="U34" s="1"/>
      <c r="V34" s="21">
        <f ca="1">IF(AND(NumAppraisers=3,SampSize&gt;=$S34),OFFSET(' Data Entry'!C$25,0,S34,1,1),"")</f>
        <v>0.59000000000000341</v>
      </c>
      <c r="W34" s="24">
        <f t="shared" si="0"/>
        <v>0.52800000000000302</v>
      </c>
      <c r="X34" s="68">
        <f t="shared" si="1"/>
        <v>1.3596000000000079</v>
      </c>
      <c r="Y34" s="1"/>
      <c r="Z34" s="70"/>
      <c r="AA34" s="1"/>
      <c r="AB34" s="21">
        <f ca="1">IF(AND(NumAppraisers=3,SampSize&gt;=$S34),OFFSET(' Data Entry'!C$24,0,S34,1,1),"")</f>
        <v>205.36333333333334</v>
      </c>
      <c r="AC34" s="21">
        <f t="shared" ca="1" si="2"/>
        <v>205.4628888888889</v>
      </c>
      <c r="AD34" s="21">
        <f t="shared" ca="1" si="3"/>
        <v>206.0030328888889</v>
      </c>
      <c r="AE34" s="69">
        <f t="shared" ca="1" si="4"/>
        <v>204.9227448888889</v>
      </c>
    </row>
    <row r="35" spans="13:31" x14ac:dyDescent="0.25">
      <c r="M35" s="315" t="s">
        <v>198</v>
      </c>
      <c r="N35" s="315"/>
      <c r="O35" s="315"/>
      <c r="S35" s="1">
        <v>8</v>
      </c>
      <c r="T35" s="70"/>
      <c r="U35" s="1"/>
      <c r="V35" s="21">
        <f ca="1">IF(AND(NumAppraisers=3,SampSize&gt;=$S35),OFFSET(' Data Entry'!C$25,0,S35,1,1),"")</f>
        <v>0.59000000000000341</v>
      </c>
      <c r="W35" s="24">
        <f t="shared" si="0"/>
        <v>0.52800000000000302</v>
      </c>
      <c r="X35" s="68">
        <f t="shared" si="1"/>
        <v>1.3596000000000079</v>
      </c>
      <c r="Y35" s="1"/>
      <c r="Z35" s="70"/>
      <c r="AA35" s="1"/>
      <c r="AB35" s="21">
        <f ca="1">IF(AND(NumAppraisers=3,SampSize&gt;=$S35),OFFSET(' Data Entry'!C$24,0,S35,1,1),"")</f>
        <v>205.5</v>
      </c>
      <c r="AC35" s="21">
        <f t="shared" ca="1" si="2"/>
        <v>205.4628888888889</v>
      </c>
      <c r="AD35" s="21">
        <f t="shared" ca="1" si="3"/>
        <v>206.0030328888889</v>
      </c>
      <c r="AE35" s="69">
        <f t="shared" ca="1" si="4"/>
        <v>204.9227448888889</v>
      </c>
    </row>
    <row r="36" spans="13:31" x14ac:dyDescent="0.25">
      <c r="M36" s="315"/>
      <c r="N36" s="315"/>
      <c r="O36" s="315"/>
      <c r="S36" s="1">
        <v>9</v>
      </c>
      <c r="T36" s="70"/>
      <c r="U36" s="1"/>
      <c r="V36" s="21">
        <f ca="1">IF(AND(NumAppraisers=3,SampSize&gt;=$S36),OFFSET(' Data Entry'!C$25,0,S36,1,1),"")</f>
        <v>0.68999999999999773</v>
      </c>
      <c r="W36" s="24">
        <f t="shared" si="0"/>
        <v>0.52800000000000302</v>
      </c>
      <c r="X36" s="68">
        <f t="shared" si="1"/>
        <v>1.3596000000000079</v>
      </c>
      <c r="Y36" s="1"/>
      <c r="Z36" s="70"/>
      <c r="AA36" s="1"/>
      <c r="AB36" s="21">
        <f ca="1">IF(AND(NumAppraisers=3,SampSize&gt;=$S36),OFFSET(' Data Entry'!C$24,0,S36,1,1),"")</f>
        <v>205.39999999999998</v>
      </c>
      <c r="AC36" s="21">
        <f t="shared" ca="1" si="2"/>
        <v>205.4628888888889</v>
      </c>
      <c r="AD36" s="21">
        <f t="shared" ca="1" si="3"/>
        <v>206.0030328888889</v>
      </c>
      <c r="AE36" s="69">
        <f t="shared" ca="1" si="4"/>
        <v>204.9227448888889</v>
      </c>
    </row>
    <row r="37" spans="13:31" x14ac:dyDescent="0.25">
      <c r="M37" s="315"/>
      <c r="N37" s="315"/>
      <c r="O37" s="315"/>
      <c r="S37" s="1">
        <v>10</v>
      </c>
      <c r="T37" s="70"/>
      <c r="U37" s="1"/>
      <c r="V37" s="21">
        <f ca="1">IF(AND(NumAppraisers=3,SampSize&gt;=$S37),OFFSET(' Data Entry'!C$25,0,S37,1,1),"")</f>
        <v>0.61000000000001364</v>
      </c>
      <c r="W37" s="24">
        <f t="shared" si="0"/>
        <v>0.52800000000000302</v>
      </c>
      <c r="X37" s="68">
        <f t="shared" si="1"/>
        <v>1.3596000000000079</v>
      </c>
      <c r="Y37" s="1"/>
      <c r="Z37" s="70"/>
      <c r="AA37" s="1"/>
      <c r="AB37" s="21">
        <f ca="1">IF(AND(NumAppraisers=3,SampSize&gt;=$S37),OFFSET(' Data Entry'!C$24,0,S37,1,1),"")</f>
        <v>205.53333333333333</v>
      </c>
      <c r="AC37" s="21">
        <f t="shared" ca="1" si="2"/>
        <v>205.4628888888889</v>
      </c>
      <c r="AD37" s="21">
        <f t="shared" ca="1" si="3"/>
        <v>206.0030328888889</v>
      </c>
      <c r="AE37" s="69">
        <f t="shared" ca="1" si="4"/>
        <v>204.9227448888889</v>
      </c>
    </row>
    <row r="38" spans="13:31" x14ac:dyDescent="0.25">
      <c r="M38" s="315"/>
      <c r="N38" s="315"/>
      <c r="O38" s="315"/>
      <c r="P38" s="1"/>
      <c r="Q38" s="1"/>
      <c r="R38" s="1"/>
      <c r="S38" s="1"/>
      <c r="T38" s="71"/>
      <c r="U38" s="72"/>
      <c r="V38" s="72"/>
      <c r="W38" s="74">
        <f t="shared" si="0"/>
        <v>0.52800000000000302</v>
      </c>
      <c r="X38" s="75">
        <f t="shared" si="1"/>
        <v>1.3596000000000079</v>
      </c>
      <c r="Y38" s="1"/>
      <c r="Z38" s="71"/>
      <c r="AA38" s="72"/>
      <c r="AB38" s="103"/>
      <c r="AC38" s="73">
        <f t="shared" ca="1" si="2"/>
        <v>205.4628888888889</v>
      </c>
      <c r="AD38" s="73">
        <f t="shared" ca="1" si="3"/>
        <v>206.0030328888889</v>
      </c>
      <c r="AE38" s="76">
        <f t="shared" ca="1" si="4"/>
        <v>204.9227448888889</v>
      </c>
    </row>
    <row r="39" spans="13:31" x14ac:dyDescent="0.25">
      <c r="M39" s="315"/>
      <c r="N39" s="315"/>
      <c r="O39" s="315"/>
    </row>
    <row r="40" spans="13:31" x14ac:dyDescent="0.25">
      <c r="M40" s="315"/>
      <c r="N40" s="315"/>
      <c r="O40" s="315"/>
    </row>
    <row r="41" spans="13:31" x14ac:dyDescent="0.25">
      <c r="M41" s="315"/>
      <c r="N41" s="315"/>
      <c r="O41" s="315"/>
    </row>
    <row r="42" spans="13:31" x14ac:dyDescent="0.25">
      <c r="M42" s="315"/>
      <c r="N42" s="315"/>
      <c r="O42" s="315"/>
    </row>
    <row r="43" spans="13:31" x14ac:dyDescent="0.25">
      <c r="M43" s="315"/>
      <c r="N43" s="315"/>
      <c r="O43" s="315"/>
    </row>
    <row r="44" spans="13:31" x14ac:dyDescent="0.25">
      <c r="M44" s="315"/>
      <c r="N44" s="315"/>
      <c r="O44" s="315"/>
    </row>
    <row r="45" spans="13:31" x14ac:dyDescent="0.25">
      <c r="M45" s="315"/>
      <c r="N45" s="315"/>
      <c r="O45" s="315"/>
    </row>
    <row r="46" spans="13:31" x14ac:dyDescent="0.25">
      <c r="M46" s="315"/>
      <c r="N46" s="315"/>
      <c r="O46" s="315"/>
    </row>
    <row r="47" spans="13:31" x14ac:dyDescent="0.25">
      <c r="M47" s="315"/>
      <c r="N47" s="315"/>
      <c r="O47" s="315"/>
    </row>
    <row r="48" spans="13:31" x14ac:dyDescent="0.25">
      <c r="M48" s="315"/>
      <c r="N48" s="315"/>
      <c r="O48" s="315"/>
    </row>
    <row r="49" spans="13:15" x14ac:dyDescent="0.25">
      <c r="M49" s="315"/>
      <c r="N49" s="315"/>
      <c r="O49" s="315"/>
    </row>
    <row r="50" spans="13:15" x14ac:dyDescent="0.25">
      <c r="M50" s="315"/>
      <c r="N50" s="315"/>
      <c r="O50" s="315"/>
    </row>
    <row r="51" spans="13:15" x14ac:dyDescent="0.25">
      <c r="M51" s="315"/>
      <c r="N51" s="315"/>
      <c r="O51" s="315"/>
    </row>
    <row r="52" spans="13:15" x14ac:dyDescent="0.25">
      <c r="M52" s="315"/>
      <c r="N52" s="315"/>
      <c r="O52" s="315"/>
    </row>
    <row r="53" spans="13:15" x14ac:dyDescent="0.25">
      <c r="M53" s="315"/>
      <c r="N53" s="315"/>
      <c r="O53" s="315"/>
    </row>
    <row r="54" spans="13:15" x14ac:dyDescent="0.25">
      <c r="M54" s="315"/>
      <c r="N54" s="315"/>
      <c r="O54" s="315"/>
    </row>
    <row r="55" spans="13:15" x14ac:dyDescent="0.25">
      <c r="M55" s="315"/>
      <c r="N55" s="315"/>
      <c r="O55" s="315"/>
    </row>
    <row r="56" spans="13:15" x14ac:dyDescent="0.25">
      <c r="M56" s="315"/>
      <c r="N56" s="315"/>
      <c r="O56" s="315"/>
    </row>
    <row r="57" spans="13:15" x14ac:dyDescent="0.25">
      <c r="M57" s="315"/>
      <c r="N57" s="315"/>
      <c r="O57" s="315"/>
    </row>
    <row r="58" spans="13:15" x14ac:dyDescent="0.25">
      <c r="M58" s="315"/>
      <c r="N58" s="315"/>
      <c r="O58" s="315"/>
    </row>
    <row r="59" spans="13:15" x14ac:dyDescent="0.25">
      <c r="M59" s="315"/>
      <c r="N59" s="315"/>
      <c r="O59" s="315"/>
    </row>
    <row r="60" spans="13:15" x14ac:dyDescent="0.25">
      <c r="M60" s="315"/>
      <c r="N60" s="315"/>
      <c r="O60" s="315"/>
    </row>
    <row r="61" spans="13:15" x14ac:dyDescent="0.25">
      <c r="M61" s="315"/>
      <c r="N61" s="315"/>
      <c r="O61" s="315"/>
    </row>
    <row r="62" spans="13:15" x14ac:dyDescent="0.25">
      <c r="M62" s="315"/>
      <c r="N62" s="315"/>
      <c r="O62" s="315"/>
    </row>
    <row r="63" spans="13:15" x14ac:dyDescent="0.25">
      <c r="M63" s="315"/>
      <c r="N63" s="315"/>
      <c r="O63" s="315"/>
    </row>
    <row r="67" spans="2:16" ht="6" customHeight="1" x14ac:dyDescent="0.25"/>
    <row r="68" spans="2:16" ht="13" thickBot="1" x14ac:dyDescent="0.3">
      <c r="B68" s="280" t="s">
        <v>92</v>
      </c>
      <c r="C68" s="280"/>
    </row>
    <row r="69" spans="2:16" ht="13" x14ac:dyDescent="0.3">
      <c r="B69" s="265" t="s">
        <v>49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7"/>
    </row>
    <row r="70" spans="2:16" x14ac:dyDescent="0.25">
      <c r="B70" s="3"/>
      <c r="P70" s="4"/>
    </row>
    <row r="71" spans="2:16" ht="15.5" x14ac:dyDescent="0.4">
      <c r="B71" s="3"/>
      <c r="C71" s="313" t="s">
        <v>17</v>
      </c>
      <c r="D71" s="313"/>
      <c r="F71" s="32" t="s">
        <v>22</v>
      </c>
      <c r="G71" s="32" t="s">
        <v>23</v>
      </c>
      <c r="K71" s="41" t="s">
        <v>40</v>
      </c>
      <c r="L71" s="42" t="s">
        <v>35</v>
      </c>
      <c r="M71" s="42" t="s">
        <v>23</v>
      </c>
      <c r="N71" s="42" t="s">
        <v>25</v>
      </c>
      <c r="O71" s="33" t="s">
        <v>27</v>
      </c>
      <c r="P71" s="4"/>
    </row>
    <row r="72" spans="2:16" x14ac:dyDescent="0.25">
      <c r="B72" s="3"/>
      <c r="C72" s="90" t="s">
        <v>58</v>
      </c>
      <c r="D72" s="173">
        <f>IF(NumAppraisers&gt;=1,RBarA,"")</f>
        <v>0.58000000000000396</v>
      </c>
      <c r="F72" s="35">
        <v>2</v>
      </c>
      <c r="G72" s="35">
        <v>3.2669999999999999</v>
      </c>
      <c r="K72" s="27">
        <f>RDblBar</f>
        <v>0.52800000000000302</v>
      </c>
      <c r="L72" s="38" t="s">
        <v>34</v>
      </c>
      <c r="M72" s="26">
        <f>IF(NumTrials=2,G72,G73)</f>
        <v>2.5750000000000002</v>
      </c>
      <c r="N72" s="29" t="s">
        <v>25</v>
      </c>
      <c r="O72" s="30">
        <f>K72*M72</f>
        <v>1.3596000000000079</v>
      </c>
      <c r="P72" s="4"/>
    </row>
    <row r="73" spans="2:16" x14ac:dyDescent="0.25">
      <c r="B73" s="3"/>
      <c r="C73" s="90" t="s">
        <v>60</v>
      </c>
      <c r="D73" s="173">
        <f>IF(NumAppraisers&gt;=2,RBarB,"")</f>
        <v>0.52000000000000457</v>
      </c>
      <c r="F73" s="35">
        <v>3</v>
      </c>
      <c r="G73" s="35">
        <v>2.5750000000000002</v>
      </c>
      <c r="K73" s="25" t="s">
        <v>26</v>
      </c>
      <c r="L73" s="53"/>
      <c r="M73" s="53"/>
      <c r="N73" s="23"/>
      <c r="O73" s="22" t="s">
        <v>15</v>
      </c>
      <c r="P73" s="4"/>
    </row>
    <row r="74" spans="2:16" x14ac:dyDescent="0.25">
      <c r="B74" s="3"/>
      <c r="C74" s="90" t="s">
        <v>62</v>
      </c>
      <c r="D74" s="173">
        <f>IF(NumAppraisers=3,RBarC,"")</f>
        <v>0.48400000000000032</v>
      </c>
      <c r="F74" s="1"/>
      <c r="G74" s="1"/>
      <c r="J74" s="22"/>
      <c r="K74" s="22"/>
      <c r="L74" s="23"/>
      <c r="M74" s="22"/>
      <c r="P74" s="4"/>
    </row>
    <row r="75" spans="2:16" ht="15.5" x14ac:dyDescent="0.4">
      <c r="B75" s="3"/>
      <c r="C75" s="90" t="s">
        <v>18</v>
      </c>
      <c r="D75" s="173">
        <f>IF(ISERROR(SUM(D72:D74)),"",SUM(D72:D74))</f>
        <v>1.584000000000009</v>
      </c>
      <c r="F75" s="32" t="s">
        <v>22</v>
      </c>
      <c r="G75" s="32" t="s">
        <v>24</v>
      </c>
      <c r="I75" s="41" t="s">
        <v>38</v>
      </c>
      <c r="J75" s="42" t="s">
        <v>36</v>
      </c>
      <c r="K75" s="42" t="s">
        <v>39</v>
      </c>
      <c r="L75" s="42" t="s">
        <v>34</v>
      </c>
      <c r="M75" s="42" t="s">
        <v>28</v>
      </c>
      <c r="N75" s="42" t="s">
        <v>25</v>
      </c>
      <c r="O75" s="33" t="s">
        <v>29</v>
      </c>
      <c r="P75" s="4"/>
    </row>
    <row r="76" spans="2:16" ht="15.5" x14ac:dyDescent="0.4">
      <c r="B76" s="3"/>
      <c r="C76" s="90" t="s">
        <v>19</v>
      </c>
      <c r="D76" s="173">
        <f>IF(ISERROR(SUM(D72:D74)),"",D75/NumAppraisers)</f>
        <v>0.52800000000000302</v>
      </c>
      <c r="F76" s="35">
        <v>2</v>
      </c>
      <c r="G76" s="36">
        <v>1.88</v>
      </c>
      <c r="I76" s="27">
        <f ca="1">XDblBar</f>
        <v>205.4628888888889</v>
      </c>
      <c r="J76" s="38" t="s">
        <v>36</v>
      </c>
      <c r="K76" s="31">
        <f>RDblBar</f>
        <v>0.52800000000000302</v>
      </c>
      <c r="L76" s="38" t="s">
        <v>34</v>
      </c>
      <c r="M76" s="26">
        <f>IF(NumTrials=2,G76,G77)</f>
        <v>1.0229999999999999</v>
      </c>
      <c r="N76" s="29" t="s">
        <v>25</v>
      </c>
      <c r="O76" s="30">
        <f ca="1">I76+(K76*M76)</f>
        <v>206.0030328888889</v>
      </c>
      <c r="P76" s="4"/>
    </row>
    <row r="77" spans="2:16" x14ac:dyDescent="0.25">
      <c r="B77" s="3"/>
      <c r="D77" s="174"/>
      <c r="F77" s="35">
        <v>3</v>
      </c>
      <c r="G77" s="35">
        <v>1.0229999999999999</v>
      </c>
      <c r="I77" s="53"/>
      <c r="K77" s="53"/>
      <c r="M77" s="53"/>
      <c r="N77" s="54"/>
      <c r="O77" s="53"/>
      <c r="P77" s="4"/>
    </row>
    <row r="78" spans="2:16" ht="15.5" x14ac:dyDescent="0.4">
      <c r="B78" s="3"/>
      <c r="C78" s="90" t="s">
        <v>20</v>
      </c>
      <c r="D78" s="173">
        <f>IF(NumAppraisers =3, MAX(XBarA,XBarB,XBarC),MAX(XBarA,XBarB))</f>
        <v>205.476</v>
      </c>
      <c r="I78" s="41" t="s">
        <v>38</v>
      </c>
      <c r="J78" s="42" t="s">
        <v>37</v>
      </c>
      <c r="K78" s="42" t="s">
        <v>39</v>
      </c>
      <c r="L78" s="42" t="s">
        <v>34</v>
      </c>
      <c r="M78" s="42" t="s">
        <v>28</v>
      </c>
      <c r="N78" s="42" t="s">
        <v>25</v>
      </c>
      <c r="O78" s="33" t="s">
        <v>30</v>
      </c>
      <c r="P78" s="4"/>
    </row>
    <row r="79" spans="2:16" x14ac:dyDescent="0.25">
      <c r="B79" s="3"/>
      <c r="C79" s="90" t="s">
        <v>111</v>
      </c>
      <c r="D79" s="173">
        <f>IF(NumAppraisers =3, MIN(XBarA,XBarB,XBarC),MIN(XBarA,XBarB))</f>
        <v>205.45500000000001</v>
      </c>
      <c r="I79" s="27">
        <f ca="1">XDblBar</f>
        <v>205.4628888888889</v>
      </c>
      <c r="J79" s="38" t="s">
        <v>37</v>
      </c>
      <c r="K79" s="31">
        <f>RDblBar</f>
        <v>0.52800000000000302</v>
      </c>
      <c r="L79" s="38" t="s">
        <v>34</v>
      </c>
      <c r="M79" s="26">
        <f>IF(NumTrials=2,G76,G77)</f>
        <v>1.0229999999999999</v>
      </c>
      <c r="N79" s="29" t="s">
        <v>25</v>
      </c>
      <c r="O79" s="30">
        <f ca="1">I79-(K79*M79)</f>
        <v>204.9227448888889</v>
      </c>
      <c r="P79" s="4"/>
    </row>
    <row r="80" spans="2:16" x14ac:dyDescent="0.25">
      <c r="B80" s="3"/>
      <c r="C80" s="90" t="s">
        <v>21</v>
      </c>
      <c r="D80" s="173">
        <f>D78-D79</f>
        <v>2.0999999999986585E-2</v>
      </c>
      <c r="P80" s="4"/>
    </row>
    <row r="81" spans="2:16" ht="13" thickBot="1" x14ac:dyDescent="0.3"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</row>
    <row r="84" spans="2:16" x14ac:dyDescent="0.25">
      <c r="B84" s="236" t="s">
        <v>92</v>
      </c>
      <c r="C84" s="236"/>
    </row>
    <row r="85" spans="2:16" ht="13" thickBot="1" x14ac:dyDescent="0.3"/>
    <row r="86" spans="2:16" ht="13" thickBot="1" x14ac:dyDescent="0.3">
      <c r="B86" s="353" t="s">
        <v>281</v>
      </c>
      <c r="C86" s="354"/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5"/>
    </row>
  </sheetData>
  <mergeCells count="10">
    <mergeCell ref="B86:P86"/>
    <mergeCell ref="B84:C84"/>
    <mergeCell ref="C71:D71"/>
    <mergeCell ref="B69:P69"/>
    <mergeCell ref="B3:E3"/>
    <mergeCell ref="F3:J3"/>
    <mergeCell ref="B68:C68"/>
    <mergeCell ref="M5:O33"/>
    <mergeCell ref="M35:O63"/>
    <mergeCell ref="C1:L1"/>
  </mergeCells>
  <phoneticPr fontId="2" type="noConversion"/>
  <hyperlinks>
    <hyperlink ref="B3:E3" location="RangeChart" display="Click here for the Range Chart" xr:uid="{00000000-0004-0000-0500-000000000000}"/>
    <hyperlink ref="F3:I3" location="ControlLimitsHome" display="Click here for the Control Limits Calculations" xr:uid="{00000000-0004-0000-0500-000001000000}"/>
    <hyperlink ref="B68:C68" location="'Ave &amp; Range Charts'!A1" display="Back to top" xr:uid="{00000000-0004-0000-0500-000002000000}"/>
    <hyperlink ref="K3:O3" location="ResultsHome" display="Click here to go back to the Results" xr:uid="{00000000-0004-0000-0500-000003000000}"/>
    <hyperlink ref="B84:C84" location="'Ave &amp; Range Charts'!A1" display="Back to top" xr:uid="{00000000-0004-0000-0500-000004000000}"/>
  </hyperlinks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X37"/>
  <sheetViews>
    <sheetView showGridLines="0" showRowColHeaders="0" topLeftCell="A9" workbookViewId="0">
      <selection activeCell="Z13" sqref="Z13"/>
    </sheetView>
  </sheetViews>
  <sheetFormatPr defaultRowHeight="12.5" x14ac:dyDescent="0.25"/>
  <cols>
    <col min="1" max="1" width="1.81640625" customWidth="1"/>
    <col min="2" max="3" width="6.1796875" customWidth="1"/>
    <col min="4" max="4" width="5.54296875" hidden="1" customWidth="1"/>
    <col min="5" max="6" width="6.1796875" customWidth="1"/>
    <col min="7" max="7" width="1.1796875" customWidth="1"/>
    <col min="8" max="8" width="10.81640625" customWidth="1"/>
    <col min="9" max="9" width="7.81640625" customWidth="1"/>
    <col min="10" max="10" width="3" bestFit="1" customWidth="1"/>
    <col min="11" max="11" width="2.81640625" bestFit="1" customWidth="1"/>
    <col min="12" max="12" width="2.81640625" hidden="1" customWidth="1"/>
    <col min="13" max="14" width="5.54296875" bestFit="1" customWidth="1"/>
    <col min="15" max="15" width="1.453125" customWidth="1"/>
    <col min="17" max="17" width="1" customWidth="1"/>
    <col min="18" max="18" width="3" bestFit="1" customWidth="1"/>
    <col min="19" max="19" width="2.81640625" bestFit="1" customWidth="1"/>
    <col min="20" max="20" width="4" hidden="1" customWidth="1"/>
    <col min="21" max="22" width="5.54296875" bestFit="1" customWidth="1"/>
    <col min="23" max="23" width="1.54296875" customWidth="1"/>
  </cols>
  <sheetData>
    <row r="1" spans="1:24" ht="16" thickBot="1" x14ac:dyDescent="0.4">
      <c r="A1" s="356" t="e" vm="3">
        <v>#VALUE!</v>
      </c>
      <c r="B1" s="357"/>
      <c r="C1" s="360" t="s">
        <v>240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2"/>
    </row>
    <row r="2" spans="1:24" x14ac:dyDescent="0.25">
      <c r="A2" s="211"/>
      <c r="X2" s="212"/>
    </row>
    <row r="3" spans="1:24" ht="13" x14ac:dyDescent="0.3">
      <c r="A3" s="211"/>
      <c r="B3" s="316" t="s">
        <v>159</v>
      </c>
      <c r="C3" s="316"/>
      <c r="D3" s="316"/>
      <c r="E3" s="316"/>
      <c r="F3" s="316"/>
      <c r="G3" s="316"/>
      <c r="H3" s="316"/>
      <c r="J3" s="316" t="s">
        <v>160</v>
      </c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7"/>
    </row>
    <row r="4" spans="1:24" ht="13" x14ac:dyDescent="0.3">
      <c r="A4" s="211"/>
      <c r="B4" s="283" t="s">
        <v>147</v>
      </c>
      <c r="C4" s="283"/>
      <c r="D4" s="283"/>
      <c r="E4" s="283"/>
      <c r="F4" s="283"/>
      <c r="G4" s="283"/>
      <c r="H4" s="283"/>
      <c r="J4" s="283" t="s">
        <v>148</v>
      </c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320"/>
    </row>
    <row r="5" spans="1:24" ht="13" x14ac:dyDescent="0.3">
      <c r="A5" s="211"/>
      <c r="J5" s="321" t="s">
        <v>137</v>
      </c>
      <c r="K5" s="321"/>
      <c r="L5" s="321"/>
      <c r="M5" s="321"/>
      <c r="N5" s="321"/>
      <c r="R5" s="321" t="s">
        <v>138</v>
      </c>
      <c r="S5" s="321"/>
      <c r="T5" s="321"/>
      <c r="U5" s="321"/>
      <c r="V5" s="321"/>
      <c r="X5" s="212"/>
    </row>
    <row r="6" spans="1:24" ht="13" x14ac:dyDescent="0.3">
      <c r="A6" s="211"/>
      <c r="E6" s="318" t="s">
        <v>102</v>
      </c>
      <c r="F6" s="319"/>
      <c r="M6" s="318" t="s">
        <v>102</v>
      </c>
      <c r="N6" s="319"/>
      <c r="U6" s="318" t="s">
        <v>102</v>
      </c>
      <c r="V6" s="319"/>
      <c r="X6" s="212"/>
    </row>
    <row r="7" spans="1:24" ht="15" x14ac:dyDescent="0.4">
      <c r="A7" s="213"/>
      <c r="B7" s="56" t="s">
        <v>135</v>
      </c>
      <c r="C7" s="56" t="s">
        <v>44</v>
      </c>
      <c r="D7" s="56"/>
      <c r="E7" s="56">
        <v>2</v>
      </c>
      <c r="F7" s="56">
        <v>3</v>
      </c>
      <c r="H7" s="56" t="s">
        <v>149</v>
      </c>
      <c r="J7" s="56" t="s">
        <v>135</v>
      </c>
      <c r="K7" s="56" t="s">
        <v>44</v>
      </c>
      <c r="L7" s="56"/>
      <c r="M7" s="56">
        <v>2</v>
      </c>
      <c r="N7" s="56">
        <v>3</v>
      </c>
      <c r="P7" s="56" t="s">
        <v>150</v>
      </c>
      <c r="R7" s="56" t="s">
        <v>135</v>
      </c>
      <c r="S7" s="56" t="s">
        <v>44</v>
      </c>
      <c r="T7" s="56"/>
      <c r="U7" s="56">
        <v>2</v>
      </c>
      <c r="V7" s="56">
        <v>3</v>
      </c>
      <c r="X7" s="214" t="s">
        <v>151</v>
      </c>
    </row>
    <row r="8" spans="1:24" ht="13" x14ac:dyDescent="0.25">
      <c r="A8" s="211"/>
      <c r="B8" s="150">
        <v>6</v>
      </c>
      <c r="C8" s="150">
        <v>2</v>
      </c>
      <c r="D8" s="151">
        <f t="shared" ref="D8:D28" si="0">B8*C8</f>
        <v>12</v>
      </c>
      <c r="E8" s="153">
        <v>0.61</v>
      </c>
      <c r="F8" s="153">
        <v>0.29899999999999999</v>
      </c>
      <c r="H8" s="152">
        <f>VLOOKUP(SampSize*NumAppraisers^2,ANOME,NumTrials,FALSE)</f>
        <v>0.192</v>
      </c>
      <c r="J8" s="150">
        <v>6</v>
      </c>
      <c r="K8" s="150">
        <v>2</v>
      </c>
      <c r="L8" s="151">
        <f t="shared" ref="L8:L28" si="1">J8*K8</f>
        <v>12</v>
      </c>
      <c r="M8" s="153">
        <v>0.39500000000000002</v>
      </c>
      <c r="N8" s="153">
        <v>0.57499999999999996</v>
      </c>
      <c r="P8" s="152">
        <f>VLOOKUP(SampSize*NumAppraisers^2,ANOMRl,NumTrials,FALSE)</f>
        <v>0.66900000000000004</v>
      </c>
      <c r="R8" s="150">
        <v>6</v>
      </c>
      <c r="S8" s="150">
        <v>2</v>
      </c>
      <c r="T8" s="151">
        <f t="shared" ref="T8:T28" si="2">R8*S8</f>
        <v>12</v>
      </c>
      <c r="U8" s="153">
        <v>1.605</v>
      </c>
      <c r="V8" s="153">
        <v>1.425</v>
      </c>
      <c r="X8" s="215">
        <f>VLOOKUP(SampSize*NumAppraisers^2,ANOMRu,NumTrials,FALSE)</f>
        <v>1.3149999999999999</v>
      </c>
    </row>
    <row r="9" spans="1:24" ht="13" x14ac:dyDescent="0.25">
      <c r="A9" s="211"/>
      <c r="B9" s="150">
        <v>6</v>
      </c>
      <c r="C9" s="150">
        <v>3</v>
      </c>
      <c r="D9" s="151">
        <f t="shared" si="0"/>
        <v>18</v>
      </c>
      <c r="E9" s="153">
        <v>1.0840000000000001</v>
      </c>
      <c r="F9" s="153">
        <v>0.51900000000000002</v>
      </c>
      <c r="J9" s="150">
        <v>6</v>
      </c>
      <c r="K9" s="150">
        <v>3</v>
      </c>
      <c r="L9" s="151">
        <f t="shared" si="1"/>
        <v>18</v>
      </c>
      <c r="M9" s="153">
        <v>0.13600000000000001</v>
      </c>
      <c r="N9" s="153">
        <v>0.33300000000000002</v>
      </c>
      <c r="R9" s="150">
        <v>6</v>
      </c>
      <c r="S9" s="150">
        <v>3</v>
      </c>
      <c r="T9" s="151">
        <f t="shared" si="2"/>
        <v>18</v>
      </c>
      <c r="U9" s="153">
        <v>2.133</v>
      </c>
      <c r="V9" s="153">
        <v>1.7749999999999999</v>
      </c>
      <c r="X9" s="212"/>
    </row>
    <row r="10" spans="1:24" ht="13" x14ac:dyDescent="0.25">
      <c r="A10" s="211"/>
      <c r="B10" s="150">
        <v>8</v>
      </c>
      <c r="C10" s="150">
        <v>2</v>
      </c>
      <c r="D10" s="151">
        <f t="shared" si="0"/>
        <v>16</v>
      </c>
      <c r="E10" s="153">
        <v>0.501</v>
      </c>
      <c r="F10" s="153">
        <v>0.253</v>
      </c>
      <c r="J10" s="150">
        <v>8</v>
      </c>
      <c r="K10" s="150">
        <v>2</v>
      </c>
      <c r="L10" s="151">
        <f t="shared" si="1"/>
        <v>16</v>
      </c>
      <c r="M10" s="153">
        <v>0.47499999999999998</v>
      </c>
      <c r="N10" s="153">
        <v>0.63500000000000001</v>
      </c>
      <c r="R10" s="150">
        <v>8</v>
      </c>
      <c r="S10" s="150">
        <v>2</v>
      </c>
      <c r="T10" s="151">
        <f t="shared" si="2"/>
        <v>16</v>
      </c>
      <c r="U10" s="153">
        <v>1.5249999999999999</v>
      </c>
      <c r="V10" s="153">
        <v>1.365</v>
      </c>
      <c r="X10" s="212"/>
    </row>
    <row r="11" spans="1:24" ht="13" x14ac:dyDescent="0.25">
      <c r="A11" s="211"/>
      <c r="B11" s="150">
        <v>9</v>
      </c>
      <c r="C11" s="150">
        <v>3</v>
      </c>
      <c r="D11" s="151">
        <f t="shared" si="0"/>
        <v>27</v>
      </c>
      <c r="E11" s="153">
        <v>0.81399999999999995</v>
      </c>
      <c r="F11" s="153">
        <v>0.40799999999999997</v>
      </c>
      <c r="J11" s="150">
        <v>9</v>
      </c>
      <c r="K11" s="150">
        <v>3</v>
      </c>
      <c r="L11" s="151">
        <f t="shared" si="1"/>
        <v>27</v>
      </c>
      <c r="M11" s="153">
        <v>0.246</v>
      </c>
      <c r="N11" s="153">
        <v>0.442</v>
      </c>
      <c r="R11" s="150">
        <v>9</v>
      </c>
      <c r="S11" s="150">
        <v>3</v>
      </c>
      <c r="T11" s="151">
        <f t="shared" si="2"/>
        <v>27</v>
      </c>
      <c r="U11" s="153">
        <v>1.915</v>
      </c>
      <c r="V11" s="153">
        <v>1.625</v>
      </c>
      <c r="X11" s="212"/>
    </row>
    <row r="12" spans="1:24" ht="13" x14ac:dyDescent="0.25">
      <c r="A12" s="211"/>
      <c r="B12" s="150">
        <v>10</v>
      </c>
      <c r="C12" s="150">
        <v>2</v>
      </c>
      <c r="D12" s="151">
        <f t="shared" si="0"/>
        <v>20</v>
      </c>
      <c r="E12" s="153">
        <v>0.435</v>
      </c>
      <c r="F12" s="153">
        <v>0.224</v>
      </c>
      <c r="J12" s="150">
        <v>10</v>
      </c>
      <c r="K12" s="150">
        <v>2</v>
      </c>
      <c r="L12" s="151">
        <f t="shared" si="1"/>
        <v>20</v>
      </c>
      <c r="M12" s="153">
        <v>0.53</v>
      </c>
      <c r="N12" s="153">
        <v>0.67200000000000004</v>
      </c>
      <c r="R12" s="150">
        <v>10</v>
      </c>
      <c r="S12" s="150">
        <v>2</v>
      </c>
      <c r="T12" s="151">
        <f t="shared" si="2"/>
        <v>20</v>
      </c>
      <c r="U12" s="153">
        <v>1.47</v>
      </c>
      <c r="V12" s="153">
        <v>1.3280000000000001</v>
      </c>
      <c r="X12" s="212"/>
    </row>
    <row r="13" spans="1:24" ht="13" x14ac:dyDescent="0.25">
      <c r="A13" s="211"/>
      <c r="B13" s="150">
        <v>12</v>
      </c>
      <c r="C13" s="150">
        <v>2</v>
      </c>
      <c r="D13" s="151">
        <f t="shared" si="0"/>
        <v>24</v>
      </c>
      <c r="E13" s="153">
        <v>0.38900000000000001</v>
      </c>
      <c r="F13" s="153">
        <v>0.20300000000000001</v>
      </c>
      <c r="J13" s="150">
        <v>12</v>
      </c>
      <c r="K13" s="150">
        <v>2</v>
      </c>
      <c r="L13" s="151">
        <f t="shared" si="1"/>
        <v>24</v>
      </c>
      <c r="M13" s="153">
        <v>0.56899999999999995</v>
      </c>
      <c r="N13" s="153">
        <v>0.70299999999999996</v>
      </c>
      <c r="R13" s="150">
        <v>12</v>
      </c>
      <c r="S13" s="150">
        <v>2</v>
      </c>
      <c r="T13" s="151">
        <f t="shared" si="2"/>
        <v>24</v>
      </c>
      <c r="U13" s="153">
        <v>1.431</v>
      </c>
      <c r="V13" s="153">
        <v>1.2969999999999999</v>
      </c>
      <c r="X13" s="212"/>
    </row>
    <row r="14" spans="1:24" ht="13" x14ac:dyDescent="0.25">
      <c r="A14" s="211"/>
      <c r="B14" s="150">
        <v>12</v>
      </c>
      <c r="C14" s="150">
        <v>3</v>
      </c>
      <c r="D14" s="151">
        <f t="shared" si="0"/>
        <v>36</v>
      </c>
      <c r="E14" s="153">
        <v>0.67800000000000005</v>
      </c>
      <c r="F14" s="153">
        <v>0.34599999999999997</v>
      </c>
      <c r="J14" s="150">
        <v>12</v>
      </c>
      <c r="K14" s="150">
        <v>3</v>
      </c>
      <c r="L14" s="151">
        <f t="shared" si="1"/>
        <v>36</v>
      </c>
      <c r="M14" s="153">
        <v>0.32900000000000001</v>
      </c>
      <c r="N14" s="153">
        <v>0.51100000000000001</v>
      </c>
      <c r="R14" s="150">
        <v>12</v>
      </c>
      <c r="S14" s="150">
        <v>3</v>
      </c>
      <c r="T14" s="151">
        <f t="shared" si="2"/>
        <v>36</v>
      </c>
      <c r="U14" s="153">
        <v>1.784</v>
      </c>
      <c r="V14" s="153">
        <v>1.534</v>
      </c>
      <c r="X14" s="212"/>
    </row>
    <row r="15" spans="1:24" ht="13" x14ac:dyDescent="0.25">
      <c r="A15" s="211"/>
      <c r="B15" s="150">
        <v>14</v>
      </c>
      <c r="C15" s="150">
        <v>2</v>
      </c>
      <c r="D15" s="151">
        <f t="shared" si="0"/>
        <v>28</v>
      </c>
      <c r="E15" s="153">
        <v>0.35699999999999998</v>
      </c>
      <c r="F15" s="153">
        <v>0.186</v>
      </c>
      <c r="J15" s="150">
        <v>14</v>
      </c>
      <c r="K15" s="150">
        <v>2</v>
      </c>
      <c r="L15" s="151">
        <f t="shared" si="1"/>
        <v>28</v>
      </c>
      <c r="M15" s="153">
        <v>0.60299999999999998</v>
      </c>
      <c r="N15" s="153">
        <v>0.72399999999999998</v>
      </c>
      <c r="R15" s="150">
        <v>14</v>
      </c>
      <c r="S15" s="150">
        <v>2</v>
      </c>
      <c r="T15" s="151">
        <f t="shared" si="2"/>
        <v>28</v>
      </c>
      <c r="U15" s="153">
        <v>1.397</v>
      </c>
      <c r="V15" s="153">
        <v>1.276</v>
      </c>
      <c r="X15" s="212"/>
    </row>
    <row r="16" spans="1:24" ht="13" x14ac:dyDescent="0.25">
      <c r="A16" s="211"/>
      <c r="B16" s="150">
        <v>15</v>
      </c>
      <c r="C16" s="150">
        <v>3</v>
      </c>
      <c r="D16" s="151">
        <f t="shared" si="0"/>
        <v>45</v>
      </c>
      <c r="E16" s="153">
        <v>0.59199999999999997</v>
      </c>
      <c r="F16" s="153">
        <v>0.30599999999999999</v>
      </c>
      <c r="J16" s="150">
        <v>15</v>
      </c>
      <c r="K16" s="150">
        <v>3</v>
      </c>
      <c r="L16" s="151">
        <f t="shared" si="1"/>
        <v>45</v>
      </c>
      <c r="M16" s="153">
        <v>0.38800000000000001</v>
      </c>
      <c r="N16" s="153">
        <v>0.55900000000000005</v>
      </c>
      <c r="R16" s="150">
        <v>15</v>
      </c>
      <c r="S16" s="150">
        <v>3</v>
      </c>
      <c r="T16" s="151">
        <f t="shared" si="2"/>
        <v>45</v>
      </c>
      <c r="U16" s="153">
        <v>1.7010000000000001</v>
      </c>
      <c r="V16" s="153">
        <v>1.476</v>
      </c>
      <c r="X16" s="212"/>
    </row>
    <row r="17" spans="1:24" ht="13" x14ac:dyDescent="0.25">
      <c r="A17" s="211"/>
      <c r="B17" s="150">
        <v>16</v>
      </c>
      <c r="C17" s="150">
        <v>2</v>
      </c>
      <c r="D17" s="151">
        <f t="shared" si="0"/>
        <v>32</v>
      </c>
      <c r="E17" s="153">
        <v>0.33100000000000002</v>
      </c>
      <c r="F17" s="153">
        <v>0.17199999999999999</v>
      </c>
      <c r="J17" s="150">
        <v>16</v>
      </c>
      <c r="K17" s="150">
        <v>2</v>
      </c>
      <c r="L17" s="151">
        <f t="shared" si="1"/>
        <v>32</v>
      </c>
      <c r="M17" s="153">
        <v>0.63</v>
      </c>
      <c r="N17" s="153">
        <v>0.74299999999999999</v>
      </c>
      <c r="R17" s="150">
        <v>16</v>
      </c>
      <c r="S17" s="150">
        <v>2</v>
      </c>
      <c r="T17" s="151">
        <f t="shared" si="2"/>
        <v>32</v>
      </c>
      <c r="U17" s="153">
        <v>1.37</v>
      </c>
      <c r="V17" s="153">
        <v>1.2569999999999999</v>
      </c>
      <c r="X17" s="212"/>
    </row>
    <row r="18" spans="1:24" ht="13" x14ac:dyDescent="0.25">
      <c r="A18" s="211"/>
      <c r="B18" s="150">
        <v>18</v>
      </c>
      <c r="C18" s="150">
        <v>2</v>
      </c>
      <c r="D18" s="151">
        <f t="shared" si="0"/>
        <v>36</v>
      </c>
      <c r="E18" s="153">
        <v>0.309</v>
      </c>
      <c r="F18" s="153">
        <v>0.16300000000000001</v>
      </c>
      <c r="J18" s="150">
        <v>18</v>
      </c>
      <c r="K18" s="150">
        <v>2</v>
      </c>
      <c r="L18" s="151">
        <f t="shared" si="1"/>
        <v>36</v>
      </c>
      <c r="M18" s="153">
        <v>0.64900000000000002</v>
      </c>
      <c r="N18" s="153">
        <v>0.75700000000000001</v>
      </c>
      <c r="R18" s="150">
        <v>18</v>
      </c>
      <c r="S18" s="150">
        <v>2</v>
      </c>
      <c r="T18" s="151">
        <f t="shared" si="2"/>
        <v>36</v>
      </c>
      <c r="U18" s="153">
        <v>1.351</v>
      </c>
      <c r="V18" s="153">
        <v>1.2430000000000001</v>
      </c>
      <c r="X18" s="212"/>
    </row>
    <row r="19" spans="1:24" ht="13" x14ac:dyDescent="0.25">
      <c r="A19" s="211"/>
      <c r="B19" s="150">
        <v>18</v>
      </c>
      <c r="C19" s="150">
        <v>3</v>
      </c>
      <c r="D19" s="151">
        <f t="shared" si="0"/>
        <v>54</v>
      </c>
      <c r="E19" s="153">
        <v>0.53100000000000003</v>
      </c>
      <c r="F19" s="153">
        <v>0.27800000000000002</v>
      </c>
      <c r="J19" s="150">
        <v>18</v>
      </c>
      <c r="K19" s="150">
        <v>3</v>
      </c>
      <c r="L19" s="151">
        <f t="shared" si="1"/>
        <v>54</v>
      </c>
      <c r="M19" s="153">
        <v>0.436</v>
      </c>
      <c r="N19" s="153">
        <v>0.59899999999999998</v>
      </c>
      <c r="R19" s="150">
        <v>18</v>
      </c>
      <c r="S19" s="150">
        <v>3</v>
      </c>
      <c r="T19" s="151">
        <f t="shared" si="2"/>
        <v>54</v>
      </c>
      <c r="U19" s="153">
        <v>1.637</v>
      </c>
      <c r="V19" s="153">
        <v>1.4359999999999999</v>
      </c>
      <c r="X19" s="212"/>
    </row>
    <row r="20" spans="1:24" ht="13" x14ac:dyDescent="0.25">
      <c r="A20" s="211"/>
      <c r="B20" s="150">
        <v>20</v>
      </c>
      <c r="C20" s="150">
        <v>2</v>
      </c>
      <c r="D20" s="151">
        <f t="shared" si="0"/>
        <v>40</v>
      </c>
      <c r="E20" s="153">
        <v>0.29199999999999998</v>
      </c>
      <c r="F20" s="153">
        <v>0.14000000000000001</v>
      </c>
      <c r="J20" s="150">
        <v>20</v>
      </c>
      <c r="K20" s="150">
        <v>2</v>
      </c>
      <c r="L20" s="151">
        <f t="shared" si="1"/>
        <v>40</v>
      </c>
      <c r="M20" s="153">
        <v>0.66800000000000004</v>
      </c>
      <c r="N20" s="153">
        <v>0.78100000000000003</v>
      </c>
      <c r="R20" s="150">
        <v>20</v>
      </c>
      <c r="S20" s="150">
        <v>2</v>
      </c>
      <c r="T20" s="151">
        <f t="shared" si="2"/>
        <v>40</v>
      </c>
      <c r="U20" s="153">
        <v>1.3320000000000001</v>
      </c>
      <c r="V20" s="153">
        <v>1.2190000000000001</v>
      </c>
      <c r="X20" s="212"/>
    </row>
    <row r="21" spans="1:24" ht="13" x14ac:dyDescent="0.25">
      <c r="A21" s="211"/>
      <c r="B21" s="150">
        <v>21</v>
      </c>
      <c r="C21" s="150">
        <v>3</v>
      </c>
      <c r="D21" s="151">
        <f t="shared" si="0"/>
        <v>63</v>
      </c>
      <c r="E21" s="153">
        <v>0.48499999999999999</v>
      </c>
      <c r="F21" s="153">
        <v>0.245</v>
      </c>
      <c r="J21" s="150">
        <v>21</v>
      </c>
      <c r="K21" s="150">
        <v>3</v>
      </c>
      <c r="L21" s="151">
        <f t="shared" si="1"/>
        <v>63</v>
      </c>
      <c r="M21" s="153">
        <v>0.47799999999999998</v>
      </c>
      <c r="N21" s="153">
        <v>0.63800000000000001</v>
      </c>
      <c r="R21" s="150">
        <v>21</v>
      </c>
      <c r="S21" s="150">
        <v>3</v>
      </c>
      <c r="T21" s="151">
        <f t="shared" si="2"/>
        <v>63</v>
      </c>
      <c r="U21" s="153">
        <v>1.585</v>
      </c>
      <c r="V21" s="153">
        <v>1.389</v>
      </c>
      <c r="X21" s="212"/>
    </row>
    <row r="22" spans="1:24" ht="13" x14ac:dyDescent="0.25">
      <c r="A22" s="211"/>
      <c r="B22" s="150">
        <v>24</v>
      </c>
      <c r="C22" s="150">
        <v>2</v>
      </c>
      <c r="D22" s="151">
        <f t="shared" si="0"/>
        <v>48</v>
      </c>
      <c r="E22" s="153">
        <v>0.26400000000000001</v>
      </c>
      <c r="F22" s="153">
        <v>0.123</v>
      </c>
      <c r="J22" s="150">
        <v>24</v>
      </c>
      <c r="K22" s="150">
        <v>2</v>
      </c>
      <c r="L22" s="151">
        <f t="shared" si="1"/>
        <v>48</v>
      </c>
      <c r="M22" s="153">
        <v>0.69599999999999995</v>
      </c>
      <c r="N22" s="153">
        <v>0.80300000000000005</v>
      </c>
      <c r="R22" s="150">
        <v>24</v>
      </c>
      <c r="S22" s="150">
        <v>2</v>
      </c>
      <c r="T22" s="151">
        <f t="shared" si="2"/>
        <v>48</v>
      </c>
      <c r="U22" s="153">
        <v>1.304</v>
      </c>
      <c r="V22" s="153">
        <v>1.1970000000000001</v>
      </c>
      <c r="X22" s="212"/>
    </row>
    <row r="23" spans="1:24" ht="13" x14ac:dyDescent="0.25">
      <c r="A23" s="211"/>
      <c r="B23" s="150">
        <v>24</v>
      </c>
      <c r="C23" s="150">
        <v>3</v>
      </c>
      <c r="D23" s="151">
        <f t="shared" si="0"/>
        <v>72</v>
      </c>
      <c r="E23" s="153">
        <v>0.45100000000000001</v>
      </c>
      <c r="F23" s="153">
        <v>0.22600000000000001</v>
      </c>
      <c r="J23" s="150">
        <v>24</v>
      </c>
      <c r="K23" s="150">
        <v>3</v>
      </c>
      <c r="L23" s="151">
        <f t="shared" si="1"/>
        <v>72</v>
      </c>
      <c r="M23" s="153">
        <v>0.505</v>
      </c>
      <c r="N23" s="153">
        <v>0.65800000000000003</v>
      </c>
      <c r="R23" s="150">
        <v>24</v>
      </c>
      <c r="S23" s="150">
        <v>3</v>
      </c>
      <c r="T23" s="151">
        <f t="shared" si="2"/>
        <v>72</v>
      </c>
      <c r="U23" s="153">
        <v>1.5469999999999999</v>
      </c>
      <c r="V23" s="153">
        <v>1.36</v>
      </c>
      <c r="X23" s="212"/>
    </row>
    <row r="24" spans="1:24" ht="13" x14ac:dyDescent="0.25">
      <c r="A24" s="211"/>
      <c r="B24" s="150">
        <v>25</v>
      </c>
      <c r="C24" s="150">
        <v>3</v>
      </c>
      <c r="D24" s="151">
        <f t="shared" si="0"/>
        <v>75</v>
      </c>
      <c r="E24" s="153">
        <v>0.41599999999999998</v>
      </c>
      <c r="F24" s="153">
        <v>0.20399999999999999</v>
      </c>
      <c r="J24" s="150">
        <v>25</v>
      </c>
      <c r="K24" s="150">
        <v>3</v>
      </c>
      <c r="L24" s="151">
        <f t="shared" si="1"/>
        <v>75</v>
      </c>
      <c r="M24" s="153">
        <v>0.32200000000000001</v>
      </c>
      <c r="N24" s="153">
        <v>0.50600000000000001</v>
      </c>
      <c r="R24" s="150">
        <v>25</v>
      </c>
      <c r="S24" s="150">
        <v>3</v>
      </c>
      <c r="T24" s="151">
        <f t="shared" si="2"/>
        <v>75</v>
      </c>
      <c r="U24" s="153">
        <v>1.861</v>
      </c>
      <c r="V24" s="153">
        <v>1.5620000000000001</v>
      </c>
      <c r="X24" s="212"/>
    </row>
    <row r="25" spans="1:24" ht="13" x14ac:dyDescent="0.25">
      <c r="A25" s="211"/>
      <c r="B25" s="150">
        <v>27</v>
      </c>
      <c r="C25" s="150">
        <v>3</v>
      </c>
      <c r="D25" s="151">
        <f t="shared" si="0"/>
        <v>81</v>
      </c>
      <c r="E25" s="153">
        <f>1.014/2.5</f>
        <v>0.40560000000000002</v>
      </c>
      <c r="F25" s="153">
        <f>0.521/2.5</f>
        <v>0.2084</v>
      </c>
      <c r="J25" s="150">
        <v>27</v>
      </c>
      <c r="K25" s="150">
        <v>3</v>
      </c>
      <c r="L25" s="151">
        <f t="shared" si="1"/>
        <v>81</v>
      </c>
      <c r="M25" s="153">
        <v>0.53</v>
      </c>
      <c r="N25" s="153">
        <v>0.68100000000000005</v>
      </c>
      <c r="R25" s="150">
        <v>27</v>
      </c>
      <c r="S25" s="150">
        <v>3</v>
      </c>
      <c r="T25" s="151">
        <f t="shared" si="2"/>
        <v>81</v>
      </c>
      <c r="U25" s="153">
        <v>1.5149999999999999</v>
      </c>
      <c r="V25" s="153">
        <v>1.333</v>
      </c>
      <c r="X25" s="212"/>
    </row>
    <row r="26" spans="1:24" ht="13" x14ac:dyDescent="0.25">
      <c r="A26" s="211"/>
      <c r="B26" s="150">
        <v>28</v>
      </c>
      <c r="C26" s="150">
        <v>2</v>
      </c>
      <c r="D26" s="151">
        <f t="shared" si="0"/>
        <v>56</v>
      </c>
      <c r="E26" s="153">
        <v>0.24199999999999999</v>
      </c>
      <c r="F26" s="153">
        <v>0.10199999999999999</v>
      </c>
      <c r="J26" s="150">
        <v>28</v>
      </c>
      <c r="K26" s="150">
        <v>2</v>
      </c>
      <c r="L26" s="151">
        <f t="shared" si="1"/>
        <v>56</v>
      </c>
      <c r="M26" s="153">
        <v>0.71899999999999997</v>
      </c>
      <c r="N26" s="153">
        <v>0.82699999999999996</v>
      </c>
      <c r="R26" s="150">
        <v>28</v>
      </c>
      <c r="S26" s="150">
        <v>2</v>
      </c>
      <c r="T26" s="151">
        <f t="shared" si="2"/>
        <v>56</v>
      </c>
      <c r="U26" s="153">
        <v>1.218</v>
      </c>
      <c r="V26" s="153">
        <v>1.173</v>
      </c>
      <c r="X26" s="212"/>
    </row>
    <row r="27" spans="1:24" ht="13" x14ac:dyDescent="0.25">
      <c r="A27" s="211"/>
      <c r="B27" s="150">
        <v>30</v>
      </c>
      <c r="C27" s="150">
        <v>2</v>
      </c>
      <c r="D27" s="151">
        <f t="shared" si="0"/>
        <v>60</v>
      </c>
      <c r="E27" s="153">
        <v>0.23300000000000001</v>
      </c>
      <c r="F27" s="153">
        <v>9.9000000000000005E-2</v>
      </c>
      <c r="J27" s="150">
        <v>30</v>
      </c>
      <c r="K27" s="150">
        <v>2</v>
      </c>
      <c r="L27" s="151">
        <f t="shared" si="1"/>
        <v>60</v>
      </c>
      <c r="M27" s="153">
        <v>0.72799999999999998</v>
      </c>
      <c r="N27" s="153">
        <v>0.83099999999999996</v>
      </c>
      <c r="R27" s="150">
        <v>30</v>
      </c>
      <c r="S27" s="150">
        <v>2</v>
      </c>
      <c r="T27" s="151">
        <f t="shared" si="2"/>
        <v>60</v>
      </c>
      <c r="U27" s="153">
        <v>1.272</v>
      </c>
      <c r="V27" s="153">
        <v>1.169</v>
      </c>
      <c r="X27" s="212"/>
    </row>
    <row r="28" spans="1:24" ht="13" x14ac:dyDescent="0.25">
      <c r="A28" s="211"/>
      <c r="B28" s="150">
        <v>30</v>
      </c>
      <c r="C28" s="150">
        <v>3</v>
      </c>
      <c r="D28" s="151">
        <f t="shared" si="0"/>
        <v>90</v>
      </c>
      <c r="E28" s="153">
        <v>0.4</v>
      </c>
      <c r="F28" s="153">
        <v>0.192</v>
      </c>
      <c r="J28" s="150">
        <v>30</v>
      </c>
      <c r="K28" s="150">
        <v>3</v>
      </c>
      <c r="L28" s="151">
        <f t="shared" si="1"/>
        <v>90</v>
      </c>
      <c r="M28" s="153">
        <v>0.55600000000000005</v>
      </c>
      <c r="N28" s="153">
        <v>0.66900000000000004</v>
      </c>
      <c r="R28" s="150">
        <v>30</v>
      </c>
      <c r="S28" s="150">
        <v>3</v>
      </c>
      <c r="T28" s="151">
        <f t="shared" si="2"/>
        <v>90</v>
      </c>
      <c r="U28" s="153">
        <v>1.4850000000000001</v>
      </c>
      <c r="V28" s="153">
        <v>1.3149999999999999</v>
      </c>
      <c r="X28" s="212"/>
    </row>
    <row r="29" spans="1:24" x14ac:dyDescent="0.25">
      <c r="A29" s="211"/>
      <c r="X29" s="212"/>
    </row>
    <row r="30" spans="1:24" x14ac:dyDescent="0.25">
      <c r="A30" s="211"/>
      <c r="B30" t="s">
        <v>154</v>
      </c>
      <c r="X30" s="212"/>
    </row>
    <row r="31" spans="1:24" x14ac:dyDescent="0.25">
      <c r="A31" s="211"/>
      <c r="X31" s="212"/>
    </row>
    <row r="32" spans="1:24" ht="13" x14ac:dyDescent="0.3">
      <c r="A32" s="211"/>
      <c r="B32" t="s">
        <v>153</v>
      </c>
      <c r="X32" s="212"/>
    </row>
    <row r="33" spans="1:24" x14ac:dyDescent="0.25">
      <c r="A33" s="211"/>
      <c r="B33" t="s">
        <v>152</v>
      </c>
      <c r="X33" s="212"/>
    </row>
    <row r="34" spans="1:24" x14ac:dyDescent="0.25">
      <c r="A34" s="211"/>
      <c r="X34" s="212"/>
    </row>
    <row r="35" spans="1:24" x14ac:dyDescent="0.25">
      <c r="A35" s="211"/>
      <c r="B35" s="216" t="s">
        <v>146</v>
      </c>
      <c r="X35" s="212"/>
    </row>
    <row r="36" spans="1:24" ht="13" thickBot="1" x14ac:dyDescent="0.3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9"/>
    </row>
    <row r="37" spans="1:24" ht="13" thickBot="1" x14ac:dyDescent="0.3">
      <c r="A37" s="353" t="s">
        <v>281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5"/>
    </row>
  </sheetData>
  <mergeCells count="11">
    <mergeCell ref="A37:X37"/>
    <mergeCell ref="B3:H3"/>
    <mergeCell ref="J3:X3"/>
    <mergeCell ref="M6:N6"/>
    <mergeCell ref="U6:V6"/>
    <mergeCell ref="B4:H4"/>
    <mergeCell ref="J4:X4"/>
    <mergeCell ref="E6:F6"/>
    <mergeCell ref="J5:N5"/>
    <mergeCell ref="R5:V5"/>
    <mergeCell ref="C1:X1"/>
  </mergeCells>
  <phoneticPr fontId="2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31"/>
  <sheetViews>
    <sheetView showGridLines="0" tabSelected="1" workbookViewId="0">
      <selection activeCell="N8" sqref="N8"/>
    </sheetView>
  </sheetViews>
  <sheetFormatPr defaultRowHeight="12.5" x14ac:dyDescent="0.25"/>
  <cols>
    <col min="1" max="1" width="1.81640625" customWidth="1"/>
    <col min="2" max="2" width="3.81640625" customWidth="1"/>
    <col min="13" max="13" width="1.81640625" customWidth="1"/>
  </cols>
  <sheetData>
    <row r="1" spans="1:13" ht="18.5" thickBot="1" x14ac:dyDescent="0.45">
      <c r="A1" s="339" t="e" vm="3">
        <v>#VALUE!</v>
      </c>
      <c r="B1" s="340"/>
      <c r="C1" s="332" t="s">
        <v>282</v>
      </c>
      <c r="D1" s="333"/>
      <c r="E1" s="333"/>
      <c r="F1" s="333"/>
      <c r="G1" s="333"/>
      <c r="H1" s="333"/>
      <c r="I1" s="333"/>
      <c r="J1" s="333"/>
      <c r="K1" s="333"/>
      <c r="L1" s="333"/>
      <c r="M1" s="334"/>
    </row>
    <row r="2" spans="1:13" x14ac:dyDescent="0.25">
      <c r="A2" s="211"/>
      <c r="M2" s="212"/>
    </row>
    <row r="3" spans="1:13" ht="13" x14ac:dyDescent="0.3">
      <c r="A3" s="211"/>
      <c r="D3" s="318" t="s">
        <v>44</v>
      </c>
      <c r="E3" s="322"/>
      <c r="F3" s="322"/>
      <c r="G3" s="322"/>
      <c r="H3" s="322"/>
      <c r="I3" s="322"/>
      <c r="J3" s="322"/>
      <c r="K3" s="322"/>
      <c r="L3" s="323"/>
      <c r="M3" s="212"/>
    </row>
    <row r="4" spans="1:13" ht="13" x14ac:dyDescent="0.3">
      <c r="A4" s="220"/>
      <c r="B4" s="209"/>
      <c r="C4" s="210"/>
      <c r="D4" s="56">
        <v>2</v>
      </c>
      <c r="E4" s="56">
        <v>3</v>
      </c>
      <c r="F4" s="56">
        <v>4</v>
      </c>
      <c r="G4" s="56">
        <v>5</v>
      </c>
      <c r="H4" s="56">
        <v>6</v>
      </c>
      <c r="I4" s="56">
        <v>7</v>
      </c>
      <c r="J4" s="56">
        <v>8</v>
      </c>
      <c r="K4" s="56">
        <v>9</v>
      </c>
      <c r="L4" s="56">
        <v>10</v>
      </c>
      <c r="M4" s="212"/>
    </row>
    <row r="5" spans="1:13" x14ac:dyDescent="0.25">
      <c r="A5" s="213"/>
      <c r="B5" s="324" t="s">
        <v>219</v>
      </c>
      <c r="C5" s="150">
        <v>1</v>
      </c>
      <c r="D5" s="150">
        <v>1.41</v>
      </c>
      <c r="E5" s="150">
        <v>1.91</v>
      </c>
      <c r="F5" s="150">
        <v>2.2400000000000002</v>
      </c>
      <c r="G5" s="150">
        <v>2.48</v>
      </c>
      <c r="H5" s="150">
        <v>2.67</v>
      </c>
      <c r="I5" s="150">
        <v>2.83</v>
      </c>
      <c r="J5" s="150">
        <v>2.96</v>
      </c>
      <c r="K5" s="150">
        <v>3.08</v>
      </c>
      <c r="L5" s="150">
        <v>3.18</v>
      </c>
      <c r="M5" s="212"/>
    </row>
    <row r="6" spans="1:13" x14ac:dyDescent="0.25">
      <c r="A6" s="213"/>
      <c r="B6" s="325"/>
      <c r="C6" s="150">
        <v>2</v>
      </c>
      <c r="D6" s="150">
        <v>1.28</v>
      </c>
      <c r="E6" s="150">
        <v>1.81</v>
      </c>
      <c r="F6" s="150">
        <v>2.15</v>
      </c>
      <c r="G6" s="150">
        <v>2.4</v>
      </c>
      <c r="H6" s="150">
        <v>2.6</v>
      </c>
      <c r="I6" s="150">
        <v>2.77</v>
      </c>
      <c r="J6" s="150">
        <v>2.91</v>
      </c>
      <c r="K6" s="150">
        <v>3.02</v>
      </c>
      <c r="L6" s="150">
        <v>3.13</v>
      </c>
      <c r="M6" s="212"/>
    </row>
    <row r="7" spans="1:13" x14ac:dyDescent="0.25">
      <c r="A7" s="211"/>
      <c r="B7" s="325"/>
      <c r="C7" s="150">
        <v>3</v>
      </c>
      <c r="D7" s="150">
        <v>1.23</v>
      </c>
      <c r="E7" s="150">
        <v>1.77</v>
      </c>
      <c r="F7" s="150">
        <v>2.12</v>
      </c>
      <c r="G7" s="150">
        <v>2.38</v>
      </c>
      <c r="H7" s="150">
        <v>2.58</v>
      </c>
      <c r="I7" s="150">
        <v>2.75</v>
      </c>
      <c r="J7" s="150">
        <v>2.89</v>
      </c>
      <c r="K7" s="150">
        <v>3.01</v>
      </c>
      <c r="L7" s="150">
        <v>3.11</v>
      </c>
      <c r="M7" s="212"/>
    </row>
    <row r="8" spans="1:13" x14ac:dyDescent="0.25">
      <c r="A8" s="211"/>
      <c r="B8" s="325"/>
      <c r="C8" s="150">
        <v>4</v>
      </c>
      <c r="D8" s="150">
        <v>1.21</v>
      </c>
      <c r="E8" s="150">
        <v>1.75</v>
      </c>
      <c r="F8" s="150">
        <v>2.11</v>
      </c>
      <c r="G8" s="150">
        <v>2.37</v>
      </c>
      <c r="H8" s="150">
        <v>2.57</v>
      </c>
      <c r="I8" s="150">
        <v>2.74</v>
      </c>
      <c r="J8" s="150">
        <v>2.88</v>
      </c>
      <c r="K8" s="150">
        <v>3</v>
      </c>
      <c r="L8" s="150">
        <v>3.1</v>
      </c>
      <c r="M8" s="212"/>
    </row>
    <row r="9" spans="1:13" x14ac:dyDescent="0.25">
      <c r="A9" s="211"/>
      <c r="B9" s="325"/>
      <c r="C9" s="150">
        <v>5</v>
      </c>
      <c r="D9" s="150">
        <v>1.19</v>
      </c>
      <c r="E9" s="150">
        <v>1.74</v>
      </c>
      <c r="F9" s="150">
        <v>2.1</v>
      </c>
      <c r="G9" s="150">
        <v>2.36</v>
      </c>
      <c r="H9" s="150">
        <v>2.56</v>
      </c>
      <c r="I9" s="150">
        <v>2.73</v>
      </c>
      <c r="J9" s="150">
        <v>2.87</v>
      </c>
      <c r="K9" s="150">
        <v>2.99</v>
      </c>
      <c r="L9" s="150">
        <v>3.1</v>
      </c>
      <c r="M9" s="212"/>
    </row>
    <row r="10" spans="1:13" x14ac:dyDescent="0.25">
      <c r="A10" s="211"/>
      <c r="B10" s="325"/>
      <c r="C10" s="150">
        <v>6</v>
      </c>
      <c r="D10" s="150">
        <v>1.18</v>
      </c>
      <c r="E10" s="150">
        <v>1.73</v>
      </c>
      <c r="F10" s="150">
        <v>2.09</v>
      </c>
      <c r="G10" s="150">
        <v>2.35</v>
      </c>
      <c r="H10" s="150">
        <v>2.56</v>
      </c>
      <c r="I10" s="150">
        <v>2.73</v>
      </c>
      <c r="J10" s="150">
        <v>2.87</v>
      </c>
      <c r="K10" s="150">
        <v>2.99</v>
      </c>
      <c r="L10" s="150">
        <v>3.1</v>
      </c>
      <c r="M10" s="212"/>
    </row>
    <row r="11" spans="1:13" x14ac:dyDescent="0.25">
      <c r="A11" s="211"/>
      <c r="B11" s="325"/>
      <c r="C11" s="150">
        <v>7</v>
      </c>
      <c r="D11" s="150">
        <v>1.17</v>
      </c>
      <c r="E11" s="150">
        <v>1.73</v>
      </c>
      <c r="F11" s="150">
        <v>2.09</v>
      </c>
      <c r="G11" s="150">
        <v>2.35</v>
      </c>
      <c r="H11" s="150">
        <v>2.5499999999999998</v>
      </c>
      <c r="I11" s="150">
        <v>2.72</v>
      </c>
      <c r="J11" s="150">
        <v>2.87</v>
      </c>
      <c r="K11" s="150">
        <v>2.99</v>
      </c>
      <c r="L11" s="150">
        <v>3.1</v>
      </c>
      <c r="M11" s="212"/>
    </row>
    <row r="12" spans="1:13" x14ac:dyDescent="0.25">
      <c r="A12" s="211"/>
      <c r="B12" s="325"/>
      <c r="C12" s="150">
        <v>8</v>
      </c>
      <c r="D12" s="150">
        <v>1.17</v>
      </c>
      <c r="E12" s="150">
        <v>1.72</v>
      </c>
      <c r="F12" s="150">
        <v>2.08</v>
      </c>
      <c r="G12" s="150">
        <v>2.35</v>
      </c>
      <c r="H12" s="150">
        <v>2.5499999999999998</v>
      </c>
      <c r="I12" s="150">
        <v>2.72</v>
      </c>
      <c r="J12" s="150">
        <v>2.87</v>
      </c>
      <c r="K12" s="150">
        <v>2.98</v>
      </c>
      <c r="L12" s="150">
        <v>3.09</v>
      </c>
      <c r="M12" s="212"/>
    </row>
    <row r="13" spans="1:13" x14ac:dyDescent="0.25">
      <c r="A13" s="211"/>
      <c r="B13" s="325"/>
      <c r="C13" s="150">
        <v>9</v>
      </c>
      <c r="D13" s="150">
        <v>1.1599999999999999</v>
      </c>
      <c r="E13" s="150">
        <v>1.72</v>
      </c>
      <c r="F13" s="150">
        <v>2.08</v>
      </c>
      <c r="G13" s="150">
        <v>2.34</v>
      </c>
      <c r="H13" s="150">
        <v>2.5499999999999998</v>
      </c>
      <c r="I13" s="150">
        <v>2.72</v>
      </c>
      <c r="J13" s="150">
        <v>2.86</v>
      </c>
      <c r="K13" s="150">
        <v>2.98</v>
      </c>
      <c r="L13" s="150">
        <v>3.09</v>
      </c>
      <c r="M13" s="212"/>
    </row>
    <row r="14" spans="1:13" x14ac:dyDescent="0.25">
      <c r="A14" s="211"/>
      <c r="B14" s="326"/>
      <c r="C14" s="150">
        <v>10</v>
      </c>
      <c r="D14" s="150">
        <v>1.1599999999999999</v>
      </c>
      <c r="E14" s="150">
        <v>1.72</v>
      </c>
      <c r="F14" s="150">
        <v>2.08</v>
      </c>
      <c r="G14" s="150">
        <v>2.34</v>
      </c>
      <c r="H14" s="150">
        <v>2.5499999999999998</v>
      </c>
      <c r="I14" s="150">
        <v>2.72</v>
      </c>
      <c r="J14" s="150">
        <v>2.86</v>
      </c>
      <c r="K14" s="150">
        <v>2.98</v>
      </c>
      <c r="L14" s="150">
        <v>3.09</v>
      </c>
      <c r="M14" s="212"/>
    </row>
    <row r="15" spans="1:13" x14ac:dyDescent="0.25">
      <c r="A15" s="211"/>
      <c r="B15" s="326"/>
      <c r="C15" s="150">
        <v>11</v>
      </c>
      <c r="D15" s="150">
        <v>1.1599999999999999</v>
      </c>
      <c r="E15" s="150">
        <v>1.71</v>
      </c>
      <c r="F15" s="150">
        <v>2.08</v>
      </c>
      <c r="G15" s="150">
        <v>2.34</v>
      </c>
      <c r="H15" s="150">
        <v>2.5499999999999998</v>
      </c>
      <c r="I15" s="150">
        <v>2.72</v>
      </c>
      <c r="J15" s="150">
        <v>2.86</v>
      </c>
      <c r="K15" s="150">
        <v>2.98</v>
      </c>
      <c r="L15" s="150">
        <v>3.09</v>
      </c>
      <c r="M15" s="212"/>
    </row>
    <row r="16" spans="1:13" x14ac:dyDescent="0.25">
      <c r="A16" s="211"/>
      <c r="B16" s="326"/>
      <c r="C16" s="150">
        <v>12</v>
      </c>
      <c r="D16" s="150">
        <v>1.1499999999999999</v>
      </c>
      <c r="E16" s="150">
        <v>1.71</v>
      </c>
      <c r="F16" s="150">
        <v>2.0699999999999998</v>
      </c>
      <c r="G16" s="150">
        <v>2.34</v>
      </c>
      <c r="H16" s="150">
        <v>2.5499999999999998</v>
      </c>
      <c r="I16" s="150">
        <v>2.72</v>
      </c>
      <c r="J16" s="150">
        <v>2.85</v>
      </c>
      <c r="K16" s="150">
        <v>2.98</v>
      </c>
      <c r="L16" s="150">
        <v>3.09</v>
      </c>
      <c r="M16" s="212"/>
    </row>
    <row r="17" spans="1:13" x14ac:dyDescent="0.25">
      <c r="A17" s="211"/>
      <c r="B17" s="326"/>
      <c r="C17" s="150">
        <v>13</v>
      </c>
      <c r="D17" s="150">
        <v>1.1499999999999999</v>
      </c>
      <c r="E17" s="150">
        <v>1.71</v>
      </c>
      <c r="F17" s="150">
        <v>2.0699999999999998</v>
      </c>
      <c r="G17" s="150">
        <v>2.34</v>
      </c>
      <c r="H17" s="150">
        <v>2.5499999999999998</v>
      </c>
      <c r="I17" s="150">
        <v>2.71</v>
      </c>
      <c r="J17" s="150">
        <v>2.85</v>
      </c>
      <c r="K17" s="150">
        <v>2.98</v>
      </c>
      <c r="L17" s="150">
        <v>3.09</v>
      </c>
      <c r="M17" s="212"/>
    </row>
    <row r="18" spans="1:13" x14ac:dyDescent="0.25">
      <c r="A18" s="211"/>
      <c r="B18" s="326"/>
      <c r="C18" s="150">
        <v>14</v>
      </c>
      <c r="D18" s="150">
        <v>1.1499999999999999</v>
      </c>
      <c r="E18" s="150">
        <v>1.71</v>
      </c>
      <c r="F18" s="150">
        <v>2.0699999999999998</v>
      </c>
      <c r="G18" s="150">
        <v>2.34</v>
      </c>
      <c r="H18" s="150">
        <v>2.54</v>
      </c>
      <c r="I18" s="150">
        <v>2.71</v>
      </c>
      <c r="J18" s="150">
        <v>2.85</v>
      </c>
      <c r="K18" s="150">
        <v>2.98</v>
      </c>
      <c r="L18" s="150">
        <v>3.08</v>
      </c>
      <c r="M18" s="212"/>
    </row>
    <row r="19" spans="1:13" x14ac:dyDescent="0.25">
      <c r="A19" s="211"/>
      <c r="B19" s="326"/>
      <c r="C19" s="150">
        <v>15</v>
      </c>
      <c r="D19" s="150">
        <v>1.1499999999999999</v>
      </c>
      <c r="E19" s="150">
        <v>1.71</v>
      </c>
      <c r="F19" s="150">
        <v>2.0699999999999998</v>
      </c>
      <c r="G19" s="150">
        <v>2.34</v>
      </c>
      <c r="H19" s="150">
        <v>2.54</v>
      </c>
      <c r="I19" s="150">
        <v>2.71</v>
      </c>
      <c r="J19" s="150">
        <v>2.85</v>
      </c>
      <c r="K19" s="150">
        <v>2.98</v>
      </c>
      <c r="L19" s="150">
        <v>3.08</v>
      </c>
      <c r="M19" s="212"/>
    </row>
    <row r="20" spans="1:13" x14ac:dyDescent="0.25">
      <c r="A20" s="211"/>
      <c r="B20" s="327"/>
      <c r="C20" s="150" t="s">
        <v>220</v>
      </c>
      <c r="D20" s="150">
        <v>1.1279999999999999</v>
      </c>
      <c r="E20" s="150">
        <v>1.6930000000000001</v>
      </c>
      <c r="F20" s="150">
        <v>2.0590000000000002</v>
      </c>
      <c r="G20" s="150">
        <v>2.3260000000000001</v>
      </c>
      <c r="H20" s="150">
        <v>2.5339999999999998</v>
      </c>
      <c r="I20" s="150">
        <v>2.7040000000000002</v>
      </c>
      <c r="J20" s="150">
        <v>2.847</v>
      </c>
      <c r="K20" s="150">
        <v>2.97</v>
      </c>
      <c r="L20" s="150">
        <v>3.0779999999999998</v>
      </c>
      <c r="M20" s="212"/>
    </row>
    <row r="21" spans="1:13" x14ac:dyDescent="0.25">
      <c r="A21" s="211"/>
      <c r="M21" s="212"/>
    </row>
    <row r="22" spans="1:13" ht="16" x14ac:dyDescent="0.4">
      <c r="A22" s="211"/>
      <c r="D22" s="56" t="s">
        <v>222</v>
      </c>
      <c r="M22" s="212"/>
    </row>
    <row r="23" spans="1:13" ht="13" x14ac:dyDescent="0.3">
      <c r="A23" s="211"/>
      <c r="C23" s="221" t="s">
        <v>230</v>
      </c>
      <c r="D23" s="34">
        <f>HLOOKUP(NumTrials,D4:L20,IF(SampSize*NumAppraisers&lt;=15,SampSize*NumAppraisers+1,17))</f>
        <v>1.6930000000000001</v>
      </c>
      <c r="E23" t="s">
        <v>94</v>
      </c>
      <c r="F23" t="s">
        <v>221</v>
      </c>
      <c r="M23" s="212"/>
    </row>
    <row r="24" spans="1:13" x14ac:dyDescent="0.25">
      <c r="A24" s="211"/>
      <c r="M24" s="212"/>
    </row>
    <row r="25" spans="1:13" ht="16" x14ac:dyDescent="0.4">
      <c r="A25" s="211"/>
      <c r="D25" s="56" t="s">
        <v>223</v>
      </c>
      <c r="M25" s="212"/>
    </row>
    <row r="26" spans="1:13" ht="13" x14ac:dyDescent="0.3">
      <c r="A26" s="211"/>
      <c r="C26" s="221" t="s">
        <v>231</v>
      </c>
      <c r="D26" s="34">
        <f>HLOOKUP(NumAppraisers,D4:E5,2)</f>
        <v>1.91</v>
      </c>
      <c r="E26" t="s">
        <v>95</v>
      </c>
      <c r="F26" t="s">
        <v>228</v>
      </c>
      <c r="M26" s="212"/>
    </row>
    <row r="27" spans="1:13" x14ac:dyDescent="0.25">
      <c r="A27" s="211"/>
      <c r="M27" s="212"/>
    </row>
    <row r="28" spans="1:13" ht="16" x14ac:dyDescent="0.4">
      <c r="A28" s="211"/>
      <c r="D28" s="56" t="s">
        <v>224</v>
      </c>
      <c r="M28" s="212"/>
    </row>
    <row r="29" spans="1:13" ht="13" x14ac:dyDescent="0.3">
      <c r="A29" s="211"/>
      <c r="C29" s="221" t="s">
        <v>232</v>
      </c>
      <c r="D29" s="34">
        <f>HLOOKUP(SampSize,D4:L5,2)</f>
        <v>3.18</v>
      </c>
      <c r="E29" t="s">
        <v>96</v>
      </c>
      <c r="F29" t="s">
        <v>229</v>
      </c>
      <c r="M29" s="212"/>
    </row>
    <row r="30" spans="1:13" ht="13" thickBot="1" x14ac:dyDescent="0.3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</row>
    <row r="31" spans="1:13" x14ac:dyDescent="0.25">
      <c r="A31" s="358" t="s">
        <v>281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</row>
  </sheetData>
  <mergeCells count="5">
    <mergeCell ref="D3:L3"/>
    <mergeCell ref="B5:B20"/>
    <mergeCell ref="A31:M31"/>
    <mergeCell ref="C1:M1"/>
    <mergeCell ref="A1:B1"/>
  </mergeCells>
  <phoneticPr fontId="2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101</vt:i4>
      </vt:variant>
    </vt:vector>
  </HeadingPairs>
  <TitlesOfParts>
    <vt:vector size="109" baseType="lpstr">
      <vt:lpstr>Setup information</vt:lpstr>
      <vt:lpstr> Data Entry</vt:lpstr>
      <vt:lpstr>bts</vt:lpstr>
      <vt:lpstr>Results</vt:lpstr>
      <vt:lpstr>Bias &amp; Consistency Charts</vt:lpstr>
      <vt:lpstr>Ave &amp; Range Charts</vt:lpstr>
      <vt:lpstr>Critical Values</vt:lpstr>
      <vt:lpstr>d2star</vt:lpstr>
      <vt:lpstr>ANOME</vt:lpstr>
      <vt:lpstr>ANOMEfactor</vt:lpstr>
      <vt:lpstr>anomelcl</vt:lpstr>
      <vt:lpstr>anomeucl</vt:lpstr>
      <vt:lpstr>ANOMRl</vt:lpstr>
      <vt:lpstr>ANOMRu</vt:lpstr>
      <vt:lpstr>AppA</vt:lpstr>
      <vt:lpstr>AppA1</vt:lpstr>
      <vt:lpstr>AppA10</vt:lpstr>
      <vt:lpstr>AppA2</vt:lpstr>
      <vt:lpstr>AppA3</vt:lpstr>
      <vt:lpstr>AppA4</vt:lpstr>
      <vt:lpstr>AppA5</vt:lpstr>
      <vt:lpstr>AppA6</vt:lpstr>
      <vt:lpstr>AppA7</vt:lpstr>
      <vt:lpstr>AppA8</vt:lpstr>
      <vt:lpstr>AppA9</vt:lpstr>
      <vt:lpstr>AppAAve</vt:lpstr>
      <vt:lpstr>AppARange</vt:lpstr>
      <vt:lpstr>AppAT1</vt:lpstr>
      <vt:lpstr>AppAT2</vt:lpstr>
      <vt:lpstr>AppAT3</vt:lpstr>
      <vt:lpstr>AppB</vt:lpstr>
      <vt:lpstr>AppB1</vt:lpstr>
      <vt:lpstr>AppB10</vt:lpstr>
      <vt:lpstr>AppB2</vt:lpstr>
      <vt:lpstr>AppB3</vt:lpstr>
      <vt:lpstr>AppB4</vt:lpstr>
      <vt:lpstr>AppB5</vt:lpstr>
      <vt:lpstr>AppB6</vt:lpstr>
      <vt:lpstr>AppB7</vt:lpstr>
      <vt:lpstr>AppB8</vt:lpstr>
      <vt:lpstr>AppB9</vt:lpstr>
      <vt:lpstr>AppBAve</vt:lpstr>
      <vt:lpstr>AppBRange</vt:lpstr>
      <vt:lpstr>AppBT1</vt:lpstr>
      <vt:lpstr>AppBT2</vt:lpstr>
      <vt:lpstr>AppBT3</vt:lpstr>
      <vt:lpstr>AppC</vt:lpstr>
      <vt:lpstr>AppC1</vt:lpstr>
      <vt:lpstr>AppC10</vt:lpstr>
      <vt:lpstr>AppC2</vt:lpstr>
      <vt:lpstr>AppC3</vt:lpstr>
      <vt:lpstr>AppC4</vt:lpstr>
      <vt:lpstr>AppC5</vt:lpstr>
      <vt:lpstr>AppC6</vt:lpstr>
      <vt:lpstr>AppC7</vt:lpstr>
      <vt:lpstr>AppC8</vt:lpstr>
      <vt:lpstr>AppC9</vt:lpstr>
      <vt:lpstr>AppCAve</vt:lpstr>
      <vt:lpstr>AppCRange</vt:lpstr>
      <vt:lpstr>AppCT1</vt:lpstr>
      <vt:lpstr>AppCT2</vt:lpstr>
      <vt:lpstr>AppCT3</vt:lpstr>
      <vt:lpstr>AppraiserBiasChart</vt:lpstr>
      <vt:lpstr>AV</vt:lpstr>
      <vt:lpstr>AveragesChart</vt:lpstr>
      <vt:lpstr>AveragesChartHome</vt:lpstr>
      <vt:lpstr>ConsistencyChart</vt:lpstr>
      <vt:lpstr>ControlChartsHome</vt:lpstr>
      <vt:lpstr>ControlLimitsHome</vt:lpstr>
      <vt:lpstr>d2starAV</vt:lpstr>
      <vt:lpstr>d2starData</vt:lpstr>
      <vt:lpstr>'Critical Values'!d2starEV</vt:lpstr>
      <vt:lpstr>d2starEV</vt:lpstr>
      <vt:lpstr>d2starPV</vt:lpstr>
      <vt:lpstr>DataHome</vt:lpstr>
      <vt:lpstr>EV</vt:lpstr>
      <vt:lpstr>GRR</vt:lpstr>
      <vt:lpstr>KeyToTerms</vt:lpstr>
      <vt:lpstr>LCLX</vt:lpstr>
      <vt:lpstr>LMR</vt:lpstr>
      <vt:lpstr>LMR_LCL</vt:lpstr>
      <vt:lpstr>NumAppraisers</vt:lpstr>
      <vt:lpstr>NumTrials</vt:lpstr>
      <vt:lpstr>OpCharCLCalcs</vt:lpstr>
      <vt:lpstr>PV</vt:lpstr>
      <vt:lpstr>RangeChart</vt:lpstr>
      <vt:lpstr>RangeOps</vt:lpstr>
      <vt:lpstr>RangeParts</vt:lpstr>
      <vt:lpstr>RBarA</vt:lpstr>
      <vt:lpstr>RBarB</vt:lpstr>
      <vt:lpstr>RBarC</vt:lpstr>
      <vt:lpstr>RDblBar</vt:lpstr>
      <vt:lpstr>ResultsHome</vt:lpstr>
      <vt:lpstr>SampSize</vt:lpstr>
      <vt:lpstr>SetupHome</vt:lpstr>
      <vt:lpstr>sops_est</vt:lpstr>
      <vt:lpstr>sparts_est</vt:lpstr>
      <vt:lpstr>Tolerance</vt:lpstr>
      <vt:lpstr>TV</vt:lpstr>
      <vt:lpstr>UCLR</vt:lpstr>
      <vt:lpstr>UCLX</vt:lpstr>
      <vt:lpstr>UMR</vt:lpstr>
      <vt:lpstr>UMR_UCL</vt:lpstr>
      <vt:lpstr>Units</vt:lpstr>
      <vt:lpstr>XBarA</vt:lpstr>
      <vt:lpstr>XBarB</vt:lpstr>
      <vt:lpstr>XBarC</vt:lpstr>
      <vt:lpstr>XBarDiff</vt:lpstr>
      <vt:lpstr>XDblBar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Harshdev P</dc:creator>
  <cp:lastModifiedBy>Tulsi Ranaot</cp:lastModifiedBy>
  <dcterms:created xsi:type="dcterms:W3CDTF">2008-01-24T22:08:47Z</dcterms:created>
  <dcterms:modified xsi:type="dcterms:W3CDTF">2025-10-01T06:14:48Z</dcterms:modified>
</cp:coreProperties>
</file>